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195" windowHeight="5970" activeTab="3"/>
  </bookViews>
  <sheets>
    <sheet name="WB" sheetId="1" r:id="rId1"/>
    <sheet name="SG10" sheetId="13" r:id="rId2"/>
    <sheet name="SG 20" sheetId="8" r:id="rId3"/>
    <sheet name="SG 50" sheetId="6" r:id="rId4"/>
    <sheet name="INA125" sheetId="5" r:id="rId5"/>
    <sheet name="HX711" sheetId="14" r:id="rId6"/>
    <sheet name="Bro SG" sheetId="3" r:id="rId7"/>
    <sheet name="Bro Tara" sheetId="11" r:id="rId8"/>
    <sheet name="Thevenin" sheetId="12" r:id="rId9"/>
  </sheets>
  <calcPr calcId="125725"/>
</workbook>
</file>

<file path=xl/calcChain.xml><?xml version="1.0" encoding="utf-8"?>
<calcChain xmlns="http://schemas.openxmlformats.org/spreadsheetml/2006/main">
  <c r="A135" i="6"/>
  <c r="A95"/>
  <c r="V5" i="8"/>
  <c r="P14" s="1"/>
  <c r="S6"/>
  <c r="S5"/>
  <c r="R5"/>
  <c r="Q5"/>
  <c r="M5" i="12"/>
  <c r="L14" s="1"/>
  <c r="N11"/>
  <c r="F7" i="11"/>
  <c r="H5"/>
  <c r="F9" s="1"/>
  <c r="AC55" i="13"/>
  <c r="A55"/>
  <c r="V22"/>
  <c r="V19"/>
  <c r="M17"/>
  <c r="G17"/>
  <c r="P15"/>
  <c r="A14"/>
  <c r="O13"/>
  <c r="P11"/>
  <c r="A11"/>
  <c r="P10"/>
  <c r="M7"/>
  <c r="G7"/>
  <c r="V5"/>
  <c r="P14" s="1"/>
  <c r="T5"/>
  <c r="K19" s="1"/>
  <c r="S5"/>
  <c r="R5"/>
  <c r="Q5"/>
  <c r="AC55" i="8"/>
  <c r="A55"/>
  <c r="V22"/>
  <c r="V19"/>
  <c r="M17"/>
  <c r="G17"/>
  <c r="P15"/>
  <c r="A14"/>
  <c r="O13"/>
  <c r="P11"/>
  <c r="A11"/>
  <c r="P10"/>
  <c r="M7"/>
  <c r="G7"/>
  <c r="T5"/>
  <c r="K19" s="1"/>
  <c r="E9"/>
  <c r="AC55" i="6"/>
  <c r="A55"/>
  <c r="T5"/>
  <c r="S5"/>
  <c r="K9" s="1"/>
  <c r="R5"/>
  <c r="E19" s="1"/>
  <c r="Q5"/>
  <c r="E9" s="1"/>
  <c r="G5" i="12"/>
  <c r="H42" s="1"/>
  <c r="H54" s="1"/>
  <c r="U34" i="11"/>
  <c r="A34"/>
  <c r="U34" i="3"/>
  <c r="A34"/>
  <c r="N39" i="5"/>
  <c r="A39"/>
  <c r="V108" i="12"/>
  <c r="A108"/>
  <c r="K70"/>
  <c r="K64"/>
  <c r="M49"/>
  <c r="P60" s="1"/>
  <c r="H49"/>
  <c r="H60" s="1"/>
  <c r="N48"/>
  <c r="P61" s="1"/>
  <c r="I48"/>
  <c r="H61" s="1"/>
  <c r="M42"/>
  <c r="P54" s="1"/>
  <c r="N41"/>
  <c r="P55" s="1"/>
  <c r="I41"/>
  <c r="H55" s="1"/>
  <c r="B30"/>
  <c r="B15"/>
  <c r="M34"/>
  <c r="H34"/>
  <c r="N33"/>
  <c r="I33"/>
  <c r="T29"/>
  <c r="C29"/>
  <c r="M27"/>
  <c r="N26"/>
  <c r="I26"/>
  <c r="C14"/>
  <c r="I11"/>
  <c r="V15"/>
  <c r="T14"/>
  <c r="N18"/>
  <c r="M19"/>
  <c r="M12"/>
  <c r="L15"/>
  <c r="I18"/>
  <c r="H19"/>
  <c r="F5"/>
  <c r="V30" s="1"/>
  <c r="U8" i="11"/>
  <c r="S7" s="1"/>
  <c r="S24" s="1"/>
  <c r="B8"/>
  <c r="C7" s="1"/>
  <c r="C24" s="1"/>
  <c r="P12"/>
  <c r="P5"/>
  <c r="L21"/>
  <c r="O13" i="6"/>
  <c r="A11"/>
  <c r="V22"/>
  <c r="V19"/>
  <c r="M17"/>
  <c r="G17"/>
  <c r="P15"/>
  <c r="A14"/>
  <c r="P11"/>
  <c r="P10"/>
  <c r="M7"/>
  <c r="G7"/>
  <c r="V5"/>
  <c r="P14" s="1"/>
  <c r="P16" i="1"/>
  <c r="F8" i="5"/>
  <c r="G6"/>
  <c r="T20" i="13" l="1"/>
  <c r="T22"/>
  <c r="K86" i="12"/>
  <c r="H66"/>
  <c r="P66"/>
  <c r="S22" i="13"/>
  <c r="L13"/>
  <c r="S20"/>
  <c r="K9"/>
  <c r="E9"/>
  <c r="U24"/>
  <c r="S7"/>
  <c r="U7" s="1"/>
  <c r="R13" s="1"/>
  <c r="E19"/>
  <c r="S20" i="8"/>
  <c r="T20"/>
  <c r="T22"/>
  <c r="I13"/>
  <c r="K9"/>
  <c r="L13" s="1"/>
  <c r="U24"/>
  <c r="S7"/>
  <c r="U7" s="1"/>
  <c r="R13" s="1"/>
  <c r="E19"/>
  <c r="S22"/>
  <c r="U22" s="1"/>
  <c r="S20" i="6"/>
  <c r="H27" i="12"/>
  <c r="K32" s="1"/>
  <c r="H12"/>
  <c r="M32"/>
  <c r="L18" i="11"/>
  <c r="U25" s="1"/>
  <c r="L19"/>
  <c r="P21" s="1"/>
  <c r="L17"/>
  <c r="H21" s="1"/>
  <c r="L16"/>
  <c r="B25" s="1"/>
  <c r="U24" i="6"/>
  <c r="I13"/>
  <c r="S7"/>
  <c r="K19"/>
  <c r="L13" s="1"/>
  <c r="T22"/>
  <c r="S22"/>
  <c r="T20"/>
  <c r="L21" i="3"/>
  <c r="L19"/>
  <c r="P21" s="1"/>
  <c r="L18"/>
  <c r="U25" s="1"/>
  <c r="L17"/>
  <c r="H21" s="1"/>
  <c r="L16"/>
  <c r="B25" s="1"/>
  <c r="S7"/>
  <c r="S24" s="1"/>
  <c r="C7"/>
  <c r="C24" s="1"/>
  <c r="U22" i="13" l="1"/>
  <c r="U19"/>
  <c r="I13"/>
  <c r="L72" i="12"/>
  <c r="Q7" s="1"/>
  <c r="S7" s="1"/>
  <c r="U19" i="8"/>
  <c r="U19" i="6"/>
  <c r="L31" i="12"/>
  <c r="H31" i="11"/>
  <c r="H30"/>
  <c r="U7" i="6"/>
  <c r="R13" s="1"/>
  <c r="U22"/>
  <c r="H30" i="3"/>
  <c r="H31"/>
  <c r="F81" i="12" l="1"/>
  <c r="K100" s="1"/>
  <c r="B86"/>
  <c r="Q6"/>
  <c r="S6" s="1"/>
  <c r="L32" i="11"/>
  <c r="H32" s="1"/>
  <c r="L32" i="3"/>
  <c r="H32" s="1"/>
  <c r="L85" i="12" l="1"/>
  <c r="Q8" s="1"/>
  <c r="S8" s="1"/>
  <c r="V8" s="1"/>
  <c r="W8" s="1"/>
  <c r="A100"/>
  <c r="L27" i="11"/>
  <c r="L13"/>
  <c r="L33"/>
  <c r="H33" s="1"/>
  <c r="P27"/>
  <c r="M23" s="1"/>
  <c r="P8" s="1"/>
  <c r="H27"/>
  <c r="I23" s="1"/>
  <c r="H27" i="3"/>
  <c r="I23" s="1"/>
  <c r="L13"/>
  <c r="L27"/>
  <c r="P27"/>
  <c r="M23" s="1"/>
  <c r="P8" s="1"/>
  <c r="R16" i="11" s="1"/>
  <c r="L33" i="3"/>
  <c r="H33" s="1"/>
  <c r="F15" i="1"/>
  <c r="F7"/>
  <c r="L7"/>
  <c r="S16"/>
  <c r="R16"/>
  <c r="S26"/>
  <c r="T29" s="1"/>
  <c r="A14"/>
  <c r="F12" s="1"/>
  <c r="V29" l="1"/>
  <c r="U14" i="13"/>
  <c r="U14" i="6"/>
  <c r="U14" i="8"/>
  <c r="L11" i="11"/>
  <c r="K5" s="1"/>
  <c r="L11" i="3"/>
  <c r="L87" i="12"/>
  <c r="L88"/>
  <c r="L86"/>
  <c r="H8" i="3"/>
  <c r="H8" i="11"/>
  <c r="J9" s="1"/>
  <c r="L15" i="1"/>
  <c r="T9"/>
  <c r="V9" s="1"/>
  <c r="O12"/>
  <c r="L25"/>
  <c r="T16"/>
  <c r="M9" i="3" l="1"/>
  <c r="J9"/>
  <c r="L28"/>
  <c r="M9" i="11"/>
  <c r="L28"/>
  <c r="Q16" i="1"/>
  <c r="T19" s="1"/>
  <c r="V19" s="1"/>
  <c r="J13" l="1"/>
  <c r="F24"/>
  <c r="I26" s="1"/>
  <c r="K26" s="1"/>
</calcChain>
</file>

<file path=xl/sharedStrings.xml><?xml version="1.0" encoding="utf-8"?>
<sst xmlns="http://schemas.openxmlformats.org/spreadsheetml/2006/main" count="575" uniqueCount="298">
  <si>
    <t xml:space="preserve">https://en.wikipedia.org/wiki/Wheatstone_bridge </t>
  </si>
  <si>
    <t>R1</t>
  </si>
  <si>
    <t>R2</t>
  </si>
  <si>
    <t>R3</t>
  </si>
  <si>
    <t>Wheatstone Bridge</t>
  </si>
  <si>
    <t>Vs</t>
  </si>
  <si>
    <t>Volt</t>
  </si>
  <si>
    <t>Ω</t>
  </si>
  <si>
    <t>mV</t>
  </si>
  <si>
    <t>VG =</t>
  </si>
  <si>
    <t>D - B</t>
  </si>
  <si>
    <r>
      <t xml:space="preserve">where </t>
    </r>
    <r>
      <rPr>
        <i/>
        <sz val="12"/>
        <color theme="1"/>
        <rFont val="Times New Roman"/>
        <family val="1"/>
      </rPr>
      <t>V</t>
    </r>
    <r>
      <rPr>
        <i/>
        <vertAlign val="subscript"/>
        <sz val="12"/>
        <color theme="1"/>
        <rFont val="Times New Roman"/>
        <family val="1"/>
      </rPr>
      <t>G</t>
    </r>
    <r>
      <rPr>
        <sz val="12"/>
        <color theme="1"/>
        <rFont val="Calibri"/>
        <family val="2"/>
        <scheme val="minor"/>
      </rPr>
      <t xml:space="preserve"> is the voltage of node D relative to node B.</t>
    </r>
  </si>
  <si>
    <t>VG</t>
  </si>
  <si>
    <t>Ohm</t>
  </si>
  <si>
    <t>R5</t>
  </si>
  <si>
    <t>P1</t>
  </si>
  <si>
    <t>K Ohm</t>
  </si>
  <si>
    <t>Gange</t>
  </si>
  <si>
    <t>dB</t>
  </si>
  <si>
    <t>High Impedance, Low Drift Instrumentation Amplifier for Strain Gauge</t>
  </si>
  <si>
    <t>%</t>
  </si>
  <si>
    <t>Vout =</t>
  </si>
  <si>
    <t>walter</t>
  </si>
  <si>
    <t>Reg. No.</t>
  </si>
  <si>
    <t xml:space="preserve"> mV</t>
  </si>
  <si>
    <t>A</t>
  </si>
  <si>
    <t>C</t>
  </si>
  <si>
    <t>B</t>
  </si>
  <si>
    <t>D</t>
  </si>
  <si>
    <t>R4</t>
  </si>
  <si>
    <t>Rød</t>
  </si>
  <si>
    <t>Sort</t>
  </si>
  <si>
    <t>Hvid</t>
  </si>
  <si>
    <t>Grøn</t>
  </si>
  <si>
    <t>Rrød/sort =</t>
  </si>
  <si>
    <t>(R1+R2)//(R3+R4) =</t>
  </si>
  <si>
    <t>[R1+R2]</t>
  </si>
  <si>
    <t>[R3+R4]</t>
  </si>
  <si>
    <t>Rhvid/grøn =</t>
  </si>
  <si>
    <t>(R1+R3)//(R2+R4) =</t>
  </si>
  <si>
    <t>[R1+R3]</t>
  </si>
  <si>
    <t>[R2+R4]</t>
  </si>
  <si>
    <t>Rød - sort</t>
  </si>
  <si>
    <t>Vss</t>
  </si>
  <si>
    <t>Beregning på Wheatstones målebro</t>
  </si>
  <si>
    <t>Vcc1</t>
  </si>
  <si>
    <t>Vt1</t>
  </si>
  <si>
    <t>Vt2</t>
  </si>
  <si>
    <t>Vcc2</t>
  </si>
  <si>
    <t>IR3</t>
  </si>
  <si>
    <t>Vt1=Vcc1*(R2/(R1+R2))=Volt</t>
  </si>
  <si>
    <t>Ri1 = R1 og R2 sidder parallel=</t>
  </si>
  <si>
    <t>R1//R2=</t>
  </si>
  <si>
    <t>Ri1</t>
  </si>
  <si>
    <t>Ri2</t>
  </si>
  <si>
    <t>Vtot = Vt1-Vt2 =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</si>
  <si>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</si>
  <si>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IR3 = Vtot/Rtot =</t>
  </si>
  <si>
    <t xml:space="preserve">www.walter-lystfisker.dk </t>
  </si>
  <si>
    <t>COPYRIGHT © 2014</t>
  </si>
  <si>
    <t>1. Indsæt værdierne for R1, R2, R3, R4 og R5 i Ohm i de gule felter</t>
  </si>
  <si>
    <t>5. Negative værdier for Vcc1 eller Vcc2 kan også indsættes. Batteriet skifter fortegn</t>
  </si>
  <si>
    <t>6. Er IR3 positiv har venstre side højest potentiale. Er IR3 negativ har højre side højest potentiale</t>
  </si>
  <si>
    <t>Målt</t>
  </si>
  <si>
    <t>Voltmeter Ri</t>
  </si>
  <si>
    <t xml:space="preserve"> µW</t>
  </si>
  <si>
    <r>
      <t xml:space="preserve">RK </t>
    </r>
    <r>
      <rPr>
        <sz val="12"/>
        <color theme="1"/>
        <rFont val="Calibri"/>
        <family val="2"/>
      </rPr>
      <t>Ω</t>
    </r>
  </si>
  <si>
    <t>Gain Calculation for INA125</t>
  </si>
  <si>
    <r>
      <t xml:space="preserve">P1 </t>
    </r>
    <r>
      <rPr>
        <sz val="12"/>
        <color theme="1"/>
        <rFont val="Calibri"/>
        <family val="2"/>
      </rPr>
      <t>Ω</t>
    </r>
  </si>
  <si>
    <t>P1 %</t>
  </si>
  <si>
    <t>P1 Standard</t>
  </si>
  <si>
    <t>E+ Red</t>
  </si>
  <si>
    <t>E- Black</t>
  </si>
  <si>
    <t>See diagram belove</t>
  </si>
  <si>
    <t>V</t>
  </si>
  <si>
    <t>Rparallel modstanden af Wheatstone Bridge</t>
  </si>
  <si>
    <t>Konstant</t>
  </si>
  <si>
    <t>Red Wire</t>
  </si>
  <si>
    <t>Black Wire</t>
  </si>
  <si>
    <t>White Wire</t>
  </si>
  <si>
    <t>Green Wire</t>
  </si>
  <si>
    <t>Strain Gauge TAL 220 50 kg</t>
  </si>
  <si>
    <t>HX711 24-Bit Analog til Digital Converter for Strain Gauge</t>
  </si>
  <si>
    <t>Målte værdier på SG TAL220 50 kg</t>
  </si>
  <si>
    <t>Forstærkningen findes i High Impedance, Low Drift Instrumentation Amplifier for Strain Gauge</t>
  </si>
  <si>
    <t>1.</t>
  </si>
  <si>
    <t>EKS.</t>
  </si>
  <si>
    <t>2.</t>
  </si>
  <si>
    <t xml:space="preserve">Zin </t>
  </si>
  <si>
    <t xml:space="preserve"> Ω</t>
  </si>
  <si>
    <t xml:space="preserve">Zout </t>
  </si>
  <si>
    <t>Pu</t>
  </si>
  <si>
    <t>Pd</t>
  </si>
  <si>
    <r>
      <t xml:space="preserve">Udarbejdet af Jørgen Walter </t>
    </r>
    <r>
      <rPr>
        <b/>
        <sz val="12"/>
        <color indexed="8"/>
        <rFont val="Calibri"/>
        <family val="2"/>
        <scheme val="minor"/>
      </rPr>
      <t>©</t>
    </r>
  </si>
  <si>
    <t>Pin 2</t>
  </si>
  <si>
    <t>Pin 3</t>
  </si>
  <si>
    <t>Pin 1</t>
  </si>
  <si>
    <t>2. Alle værdier i de hvide celler overføres fra ark Bro SG</t>
  </si>
  <si>
    <t>4. Alle de andre værdier beregnes automatisk</t>
  </si>
  <si>
    <t>5. Det er en forudsætning, at Ark Bro SG er udfyldt korrekt</t>
  </si>
  <si>
    <t>Tara beregning på Wheatstone målebro, som er den Strain Gauge på Ark Bro SG</t>
  </si>
  <si>
    <t>Lav en "Hvad hvis-analyse" på celle P8 med værdien i celle R16</t>
  </si>
  <si>
    <t>7. Regnearket er Password beskyttet</t>
  </si>
  <si>
    <t>Vt1=Vcc1*(Pd/(Pu+Pd))=Volt</t>
  </si>
  <si>
    <t>Ri1 = Pu og Pd sidder parallel=</t>
  </si>
  <si>
    <t>Pu//Pd=</t>
  </si>
  <si>
    <t xml:space="preserve"> nA</t>
  </si>
  <si>
    <t xml:space="preserve"> nW</t>
  </si>
  <si>
    <t>Brug Hvad hvis-analyse m.h.t. R4 og VG</t>
  </si>
  <si>
    <t>Rx = R4</t>
  </si>
  <si>
    <t>VG*Av =</t>
  </si>
  <si>
    <t>Password beskyttet</t>
  </si>
  <si>
    <t>ved at ændre P2 procent værdi i celle F5. Finpuds ved at ændre</t>
  </si>
  <si>
    <t>Instrumentation Amplifier INA125 for Strain Gauge Load Cell 20 kg</t>
  </si>
  <si>
    <t>Reg. No. 1248</t>
  </si>
  <si>
    <r>
      <t xml:space="preserve">fås den største mulige spændingsændring over broen = </t>
    </r>
    <r>
      <rPr>
        <sz val="11"/>
        <color theme="1"/>
        <rFont val="Calibri"/>
        <family val="2"/>
      </rPr>
      <t>ΔV</t>
    </r>
  </si>
  <si>
    <t>-</t>
  </si>
  <si>
    <t>+</t>
  </si>
  <si>
    <t>Thevenin Equivalent Diagram</t>
  </si>
  <si>
    <t>P2 = Pu</t>
  </si>
  <si>
    <t>Sum Pu+Pd</t>
  </si>
  <si>
    <t>V1</t>
  </si>
  <si>
    <t>V2</t>
  </si>
  <si>
    <t>RL</t>
  </si>
  <si>
    <t>Thevenin 1. diagram: Fjern RL og beregn VR2 og VR4</t>
  </si>
  <si>
    <t>VR2</t>
  </si>
  <si>
    <t>VR4</t>
  </si>
  <si>
    <t>Thevenin Volt</t>
  </si>
  <si>
    <t>VTh</t>
  </si>
  <si>
    <t>VR2=V1*(R2/(R1+R2))</t>
  </si>
  <si>
    <t>VR4=V2*(R4/(R3+R4))</t>
  </si>
  <si>
    <t>VTh=VR2-VR4</t>
  </si>
  <si>
    <t>Thevenin 2. diagram: Kortslut V1 og V2 og beregn RTh</t>
  </si>
  <si>
    <t>RTh=Thevenin Modstand</t>
  </si>
  <si>
    <t>Kredsløbet transformeres til</t>
  </si>
  <si>
    <t>Modstanden mellem A og B</t>
  </si>
  <si>
    <t>R1//R2</t>
  </si>
  <si>
    <t>R3//R4</t>
  </si>
  <si>
    <t>RTh</t>
  </si>
  <si>
    <t>IRL=VTh/(RTh+RL)</t>
  </si>
  <si>
    <t>Amp</t>
  </si>
  <si>
    <t>Opgaven: Beregn strømmen gennem belastningsmodstanden RL</t>
  </si>
  <si>
    <t>Benyt Thevenins teori: Fjern RL, Kortslut spændingskilder og åbn strømkilder</t>
  </si>
  <si>
    <t>VTh=</t>
  </si>
  <si>
    <t>RTh=</t>
  </si>
  <si>
    <r>
      <t>k</t>
    </r>
    <r>
      <rPr>
        <b/>
        <sz val="12"/>
        <color rgb="FF0070C0"/>
        <rFont val="Calibri"/>
        <family val="2"/>
      </rPr>
      <t>Ω</t>
    </r>
  </si>
  <si>
    <t>IRL=</t>
  </si>
  <si>
    <t>mAmp</t>
  </si>
  <si>
    <t>Thevenin beregning på en Whetstone bro med en belastnings modstand RL mellem punkterne A og B</t>
  </si>
  <si>
    <t>nAmp</t>
  </si>
  <si>
    <t>µAmp</t>
  </si>
  <si>
    <t>P2</t>
  </si>
  <si>
    <t>Er strømmen negativ går den fra B til A</t>
  </si>
  <si>
    <t>Er strømmen positiv går den fra A til B</t>
  </si>
  <si>
    <t>https://en.wikipedia.org/wiki/Th%C3%A9venin%27s_theorem</t>
  </si>
  <si>
    <t>Ino</t>
  </si>
  <si>
    <t>Rno</t>
  </si>
  <si>
    <t>RTh = RNo</t>
  </si>
  <si>
    <t>VTh = INo * RNo</t>
  </si>
  <si>
    <t>INo = VTh / RTh</t>
  </si>
  <si>
    <t>Thevenin kredsløb [spænding]</t>
  </si>
  <si>
    <t>Norton kredsløb [strøm]</t>
  </si>
  <si>
    <t>RL sættes parallel over Rno - mellem A og B</t>
  </si>
  <si>
    <t>P2 er Tara 10 turns Potentiometeret i Strain Gauge forstærkeren</t>
  </si>
  <si>
    <t>X</t>
  </si>
  <si>
    <t>Y</t>
  </si>
  <si>
    <t>Når V1 = V2 er den røde linje forbundet mellem X og Y</t>
  </si>
  <si>
    <t>Bruges til Kilde Transformation se her:</t>
  </si>
  <si>
    <t xml:space="preserve">https://en.wikipedia.org/wiki/Source_transformation </t>
  </si>
  <si>
    <t>En Norton equivalent kredsløb er relateret til Thevenin kredsløb således:</t>
  </si>
  <si>
    <t>R9</t>
  </si>
  <si>
    <t>R6</t>
  </si>
  <si>
    <t>Indsæt SG modstandene i skemaet ovenfor - Gule celler</t>
  </si>
  <si>
    <t>Av=((2*R4/P1) + 1) * (R9/R6) =</t>
  </si>
  <si>
    <t>RSG1</t>
  </si>
  <si>
    <t>RSG2</t>
  </si>
  <si>
    <t>RSG3</t>
  </si>
  <si>
    <t>RSG4</t>
  </si>
  <si>
    <t>Gain = 4 + 60K/(R5+P1) =</t>
  </si>
  <si>
    <t>Strain Gauge YZC - 1B 20 kg</t>
  </si>
  <si>
    <t>Vt2=Vcc2*(R4/(R3+R4))=Volt</t>
  </si>
  <si>
    <t>Ri2 = R3 og R4 sidder parallel=</t>
  </si>
  <si>
    <t>R3//R4=</t>
  </si>
  <si>
    <t>Rtot = Ri1+R5+Ri2 =</t>
  </si>
  <si>
    <t>WR3 = IR3^2*R5 =</t>
  </si>
  <si>
    <t>2. Indsæt spændingen over broen i de gule felter. Hvis det er en "ægte" Wheatstone bro skal Vcc1 og Vcc2 være ens. R1 og R43er så forbundet i toppen</t>
  </si>
  <si>
    <t>3. I det grønne felt aflæses den strøm, som går gennem modstanden R5</t>
  </si>
  <si>
    <t>4. Kan også bruges til at måle strømmen gennem R5 mellem to spændingsdeler. Vcc1 og Vcc2 er så forskellige</t>
  </si>
  <si>
    <t>IR5 = Vtot/Rtot =</t>
  </si>
  <si>
    <t>WR5 = IR3^2*R3 =</t>
  </si>
  <si>
    <t>1. Indsæt værdierne for P2 og R5 i Ohm i de gule felter</t>
  </si>
  <si>
    <t>IR5</t>
  </si>
  <si>
    <t>6. Den største strøm man kan føre gennen R5 med de anførte værdier er ca. +- 50 µA. Husk blot strømmen skal være positiv</t>
  </si>
  <si>
    <t>Beregn strømmen IRL gennem RL</t>
  </si>
  <si>
    <t>Pin 8 Rg</t>
  </si>
  <si>
    <t>Pin 9 Rg</t>
  </si>
  <si>
    <t>Pin 10 V0</t>
  </si>
  <si>
    <t>Pin 11 Sense</t>
  </si>
  <si>
    <t>Pin 12 VrefCOM</t>
  </si>
  <si>
    <t>Pin 13 VrefBG</t>
  </si>
  <si>
    <t>Pin 14 Vref2.5</t>
  </si>
  <si>
    <t>Pin 15 Vref5</t>
  </si>
  <si>
    <t>Pin16 Vref10</t>
  </si>
  <si>
    <t>Pin 1 V+</t>
  </si>
  <si>
    <t>Pin 2 SLEEP</t>
  </si>
  <si>
    <t>Pin 3 V-</t>
  </si>
  <si>
    <t>Pin4 VrefOUT</t>
  </si>
  <si>
    <t>Pin 5 IAref</t>
  </si>
  <si>
    <t>Pin 6 Vin+</t>
  </si>
  <si>
    <t>Pin 7 Vin-</t>
  </si>
  <si>
    <t>Her levere Arduino 5V til broen og INA125P</t>
  </si>
  <si>
    <t>Her er det en extern strømforsyning til INA125P</t>
  </si>
  <si>
    <t>5V til broen tages fra Vref5 - stabil spænding</t>
  </si>
  <si>
    <t>Pin1 100µF til GND</t>
  </si>
  <si>
    <t>Pin15 100nF til GND</t>
  </si>
  <si>
    <t>Pin 6 og 7, 2x10k Ohm i serie til indgang og 2x100µF til GND</t>
  </si>
  <si>
    <t>a resistor of at least 1 K on the output of the INA125 and</t>
  </si>
  <si>
    <t>If the Ardno and INA125 are separated by more than a few inches,</t>
  </si>
  <si>
    <t>another capacitor from the Ardno input to ground.</t>
  </si>
  <si>
    <t>Strain Gauge YZC -1B 10 kg</t>
  </si>
  <si>
    <t>Sensivity</t>
  </si>
  <si>
    <t>mV/volt</t>
  </si>
  <si>
    <t>Sort - Skærm</t>
  </si>
  <si>
    <t>pF</t>
  </si>
  <si>
    <t>Målte værdier på SG YZC - 1B 10 kg</t>
  </si>
  <si>
    <t>Købt hos:</t>
  </si>
  <si>
    <r>
      <t>402+-6</t>
    </r>
    <r>
      <rPr>
        <sz val="12"/>
        <color theme="1"/>
        <rFont val="Calibri"/>
        <family val="2"/>
      </rPr>
      <t>Ω</t>
    </r>
  </si>
  <si>
    <r>
      <t>350+-3</t>
    </r>
    <r>
      <rPr>
        <sz val="12"/>
        <rFont val="Calibri"/>
        <family val="2"/>
      </rPr>
      <t>Ω</t>
    </r>
  </si>
  <si>
    <t>https://www.aliexpress.com/item/Wide-measurement-platform-scale-pressure-load-cell-YZC-1B-3kg-5kg-8kg-10kg-20kg-40kg-electronic/32796106025.html?gps- id=pcStoreLeaderboard&amp;scm=1007.22922.122102.0&amp;scm_id=1007.22922.122102.0&amp;scm-url=1007.22922.122102.0&amp;pvid=b5466d99-b8e7-4e43-b94b-ebf7becc5b22&amp;spm=a2g1y.12024536.smartLeaderboard_116577714.32796106025</t>
  </si>
  <si>
    <t>RSG1 Rød - Grøn</t>
  </si>
  <si>
    <t>RSG2 Sort - Grøn</t>
  </si>
  <si>
    <t>RSG3 Rød - Hvid</t>
  </si>
  <si>
    <t>RSG4 Sort - Hvid</t>
  </si>
  <si>
    <t>Grøn - Hvid</t>
  </si>
  <si>
    <t>Rgrøn/hvid =</t>
  </si>
  <si>
    <t>µA</t>
  </si>
  <si>
    <t>Beregning på Wheatstones målebro som er en Strain Gauge. Der skal udføres en Tara beregning , se Ark "Bro Tara"</t>
  </si>
  <si>
    <t>Tara beregning på Wheatstone målebro, som er den Strain Gauge på Ark "Bro SG"</t>
  </si>
  <si>
    <t>P2 drejes</t>
  </si>
  <si>
    <t>op</t>
  </si>
  <si>
    <t>mV over R5</t>
  </si>
  <si>
    <t>nA</t>
  </si>
  <si>
    <t>procenten selv, så den nøjagtige værdi opnås. Her 32,920%</t>
  </si>
  <si>
    <t>White Wire must be:</t>
  </si>
  <si>
    <t>See Ark "Bro SG" Celle G8</t>
  </si>
  <si>
    <r>
      <rPr>
        <sz val="12"/>
        <color theme="1"/>
        <rFont val="Calibri"/>
        <family val="2"/>
      </rPr>
      <t>Δm</t>
    </r>
    <r>
      <rPr>
        <sz val="12"/>
        <color theme="1"/>
        <rFont val="Calibri"/>
        <family val="2"/>
        <scheme val="minor"/>
      </rPr>
      <t>V over R5</t>
    </r>
  </si>
  <si>
    <t>Målte værdier på SG YZC - 1B 20 kg</t>
  </si>
  <si>
    <t>Værdier målt 08-06-2019</t>
  </si>
  <si>
    <t>2,0 +-0,15</t>
  </si>
  <si>
    <t>1,0 +- 0,15</t>
  </si>
  <si>
    <t>1000+-15</t>
  </si>
  <si>
    <t>1000+-10</t>
  </si>
  <si>
    <t>Info</t>
  </si>
  <si>
    <t xml:space="preserve">https://learn.sparkfun.com/tutorials/getting-started-with-load-cells/all </t>
  </si>
  <si>
    <t>Sort - Skærm*</t>
  </si>
  <si>
    <t>Skærm*</t>
  </si>
  <si>
    <t>Jeg har selv lavet en skærm omkring ledningerne</t>
  </si>
  <si>
    <t>Rød og sort er snoet</t>
  </si>
  <si>
    <t>Grøn og hvid er snoet</t>
  </si>
  <si>
    <t>Når R2 og R3 forøges og R1 og R4 formindskes samtidigt,</t>
  </si>
  <si>
    <t>Forstærkningen beregnes på ark "WB"</t>
  </si>
  <si>
    <t>Av =</t>
  </si>
  <si>
    <t>Brug Hvad hvis-analyse på R4 ved at sætte VG til 0 Volt</t>
  </si>
  <si>
    <t xml:space="preserve">http://www.datasheet.hk/view_download.php?id=1270347&amp;file=0105\s8550_1098607.pdf </t>
  </si>
  <si>
    <t xml:space="preserve">file:///D:/PDF%20Files/IC%20kredse/HX711/ads1231.pdf </t>
  </si>
  <si>
    <t>IC1D Indsæt C9 på 0,1µF over Pin 13 (6) og Pin 12 (5)</t>
  </si>
  <si>
    <t xml:space="preserve">https://www.elecrow.com/wiki/images/2/2b/HX711.pdf </t>
  </si>
  <si>
    <t>Data for HX711</t>
  </si>
  <si>
    <t xml:space="preserve">http://www.ti.com/lit/ds/symlink/ina125.pdf </t>
  </si>
  <si>
    <t>NB: Siden er under opbygning</t>
  </si>
  <si>
    <t>Vout [v]</t>
  </si>
  <si>
    <t>Amb. Temp. [°C]</t>
  </si>
  <si>
    <t>Slut lørdag kl. 18.00</t>
  </si>
  <si>
    <t>Start fredag kl. 12.00</t>
  </si>
  <si>
    <t>Temperaturdrift i forstærkeren med et tryk på 10 kg, som svarer til Vout på 1 volt</t>
  </si>
  <si>
    <t>Omdrejning</t>
  </si>
  <si>
    <t>Vægt [kg]</t>
  </si>
  <si>
    <t>Vægten som funktion af omdrejninger med monteret fjeder</t>
  </si>
  <si>
    <t>Vout og vægt som funktion af omdrejninger med monteret fjeder</t>
  </si>
  <si>
    <t>Bruges ikke overbelastning</t>
  </si>
  <si>
    <r>
      <t xml:space="preserve">Under sommervarmen i juni/juli 2019 har jeg målt forstærkerens temperatur stabilitet under 30 timers drift fra 17 </t>
    </r>
    <r>
      <rPr>
        <sz val="16"/>
        <color theme="1"/>
        <rFont val="Calibri"/>
        <family val="2"/>
      </rPr>
      <t>°C til 32 °C. Kurven ses herunder. Som det ses er resultatet reversibelt.</t>
    </r>
  </si>
  <si>
    <t>S+ Green</t>
  </si>
  <si>
    <t>S- White</t>
  </si>
  <si>
    <t>Udskift 1kOhm med et potentiometer på 1kOhm</t>
  </si>
  <si>
    <t>12.00</t>
  </si>
  <si>
    <t>20.00</t>
  </si>
  <si>
    <t>10.00</t>
  </si>
  <si>
    <t>13.00</t>
  </si>
  <si>
    <t>16.00</t>
  </si>
  <si>
    <t>8.00</t>
  </si>
  <si>
    <t>15.00</t>
  </si>
  <si>
    <t>Tid Kl.</t>
  </si>
  <si>
    <t>Vout volt</t>
  </si>
  <si>
    <t>Vout voltmeter</t>
  </si>
  <si>
    <t xml:space="preserve">Vout [v] </t>
  </si>
  <si>
    <t>Temperatur og Vout som funktion af tiden på dagen</t>
  </si>
  <si>
    <t>Juli 2019 varm uge 28</t>
  </si>
  <si>
    <r>
      <t xml:space="preserve">Temp </t>
    </r>
    <r>
      <rPr>
        <sz val="12"/>
        <color rgb="FF0070C0"/>
        <rFont val="Calibri"/>
        <family val="2"/>
      </rPr>
      <t xml:space="preserve">°C </t>
    </r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</si>
</sst>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164" formatCode="0.000"/>
    <numFmt numFmtId="165" formatCode="0.0000000"/>
    <numFmt numFmtId="166" formatCode="_ * #,##0.0000_ ;_ * \-#,##0.0000_ ;_ * &quot;-&quot;??_ ;_ @_ "/>
    <numFmt numFmtId="167" formatCode="_ * #,##0_ ;_ * \-#,##0_ ;_ * &quot;-&quot;??_ ;_ @_ "/>
    <numFmt numFmtId="168" formatCode="0.00000"/>
    <numFmt numFmtId="169" formatCode="_ * #,##0.000000_ ;_ * \-#,##0.000000_ ;_ * &quot;-&quot;??_ ;_ @_ "/>
    <numFmt numFmtId="170" formatCode="0.0000"/>
    <numFmt numFmtId="171" formatCode="_ * #,##0.000_ ;_ * \-#,##0.000_ ;_ * &quot;-&quot;???_ ;_ @_ "/>
    <numFmt numFmtId="172" formatCode="0.000000"/>
    <numFmt numFmtId="173" formatCode="_ * #,##0.00000_ ;_ * \-#,##0.00000_ ;_ * &quot;-&quot;???_ ;_ @_ "/>
    <numFmt numFmtId="174" formatCode="0.0000000000"/>
    <numFmt numFmtId="175" formatCode="0.0000000000000000"/>
    <numFmt numFmtId="176" formatCode="0.000%"/>
    <numFmt numFmtId="177" formatCode="0.0"/>
    <numFmt numFmtId="178" formatCode="0.0000000000000"/>
  </numFmts>
  <fonts count="4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sz val="11"/>
      <color rgb="FF242729"/>
      <name val="Arial"/>
      <family val="2"/>
    </font>
    <font>
      <sz val="12"/>
      <color rgb="FF242729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5" borderId="0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7" fillId="5" borderId="0" xfId="1" applyFont="1" applyFill="1" applyBorder="1" applyAlignment="1" applyProtection="1"/>
    <xf numFmtId="0" fontId="3" fillId="5" borderId="0" xfId="0" applyFont="1" applyFill="1" applyBorder="1" applyAlignment="1">
      <alignment vertical="center"/>
    </xf>
    <xf numFmtId="0" fontId="3" fillId="5" borderId="10" xfId="0" applyFont="1" applyFill="1" applyBorder="1"/>
    <xf numFmtId="0" fontId="3" fillId="5" borderId="11" xfId="0" applyFont="1" applyFill="1" applyBorder="1"/>
    <xf numFmtId="0" fontId="3" fillId="0" borderId="0" xfId="0" applyFont="1" applyFill="1" applyBorder="1"/>
    <xf numFmtId="0" fontId="3" fillId="5" borderId="13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5" borderId="12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3" fillId="5" borderId="0" xfId="0" quotePrefix="1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0" xfId="0" applyFont="1" applyFill="1" applyBorder="1" applyAlignment="1"/>
    <xf numFmtId="0" fontId="11" fillId="0" borderId="0" xfId="0" applyFont="1" applyFill="1" applyBorder="1"/>
    <xf numFmtId="0" fontId="3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22" fillId="9" borderId="9" xfId="0" applyFont="1" applyFill="1" applyBorder="1" applyProtection="1"/>
    <xf numFmtId="0" fontId="21" fillId="9" borderId="9" xfId="0" applyFont="1" applyFill="1" applyBorder="1" applyProtection="1"/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6" fillId="5" borderId="0" xfId="0" applyFont="1" applyFill="1" applyBorder="1" applyAlignment="1"/>
    <xf numFmtId="168" fontId="3" fillId="5" borderId="0" xfId="0" quotePrefix="1" applyNumberFormat="1" applyFont="1" applyFill="1" applyBorder="1" applyAlignment="1">
      <alignment horizontal="center"/>
    </xf>
    <xf numFmtId="0" fontId="30" fillId="9" borderId="9" xfId="0" applyFont="1" applyFill="1" applyBorder="1" applyProtection="1"/>
    <xf numFmtId="0" fontId="11" fillId="9" borderId="9" xfId="0" applyFont="1" applyFill="1" applyBorder="1" applyProtection="1"/>
    <xf numFmtId="0" fontId="3" fillId="5" borderId="0" xfId="0" applyFont="1" applyFill="1" applyProtection="1"/>
    <xf numFmtId="0" fontId="3" fillId="0" borderId="0" xfId="0" applyFont="1" applyProtection="1"/>
    <xf numFmtId="0" fontId="3" fillId="9" borderId="8" xfId="0" applyFont="1" applyFill="1" applyBorder="1" applyProtection="1"/>
    <xf numFmtId="0" fontId="3" fillId="9" borderId="0" xfId="0" applyFont="1" applyFill="1" applyBorder="1" applyProtection="1"/>
    <xf numFmtId="0" fontId="3" fillId="9" borderId="15" xfId="0" applyFont="1" applyFill="1" applyBorder="1" applyProtection="1"/>
    <xf numFmtId="0" fontId="3" fillId="9" borderId="9" xfId="0" applyFont="1" applyFill="1" applyBorder="1" applyProtection="1"/>
    <xf numFmtId="0" fontId="3" fillId="9" borderId="16" xfId="0" applyFont="1" applyFill="1" applyBorder="1" applyProtection="1"/>
    <xf numFmtId="0" fontId="3" fillId="9" borderId="17" xfId="0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>
      <alignment horizontal="center"/>
    </xf>
    <xf numFmtId="0" fontId="3" fillId="9" borderId="24" xfId="0" applyFont="1" applyFill="1" applyBorder="1" applyAlignment="1" applyProtection="1"/>
    <xf numFmtId="0" fontId="3" fillId="9" borderId="18" xfId="0" applyFont="1" applyFill="1" applyBorder="1" applyProtection="1"/>
    <xf numFmtId="0" fontId="3" fillId="9" borderId="0" xfId="0" applyFont="1" applyFill="1" applyBorder="1" applyAlignment="1" applyProtection="1"/>
    <xf numFmtId="0" fontId="3" fillId="9" borderId="9" xfId="0" applyFont="1" applyFill="1" applyBorder="1" applyAlignment="1" applyProtection="1">
      <alignment horizontal="center"/>
    </xf>
    <xf numFmtId="0" fontId="3" fillId="9" borderId="8" xfId="0" applyFont="1" applyFill="1" applyBorder="1" applyAlignment="1" applyProtection="1">
      <alignment horizontal="center"/>
    </xf>
    <xf numFmtId="10" fontId="3" fillId="9" borderId="0" xfId="2" applyNumberFormat="1" applyFont="1" applyFill="1" applyBorder="1" applyAlignment="1" applyProtection="1">
      <alignment horizontal="center"/>
    </xf>
    <xf numFmtId="1" fontId="3" fillId="9" borderId="0" xfId="0" applyNumberFormat="1" applyFont="1" applyFill="1" applyBorder="1" applyAlignment="1" applyProtection="1">
      <alignment horizontal="center"/>
    </xf>
    <xf numFmtId="0" fontId="3" fillId="9" borderId="8" xfId="0" applyFont="1" applyFill="1" applyBorder="1" applyAlignment="1" applyProtection="1"/>
    <xf numFmtId="0" fontId="10" fillId="9" borderId="5" xfId="0" applyFont="1" applyFill="1" applyBorder="1" applyAlignment="1" applyProtection="1">
      <alignment horizontal="center"/>
    </xf>
    <xf numFmtId="0" fontId="3" fillId="9" borderId="7" xfId="0" applyFont="1" applyFill="1" applyBorder="1" applyProtection="1"/>
    <xf numFmtId="0" fontId="3" fillId="9" borderId="19" xfId="0" applyFont="1" applyFill="1" applyBorder="1" applyAlignment="1" applyProtection="1">
      <alignment horizontal="center"/>
    </xf>
    <xf numFmtId="0" fontId="3" fillId="9" borderId="9" xfId="0" applyFont="1" applyFill="1" applyBorder="1" applyAlignment="1" applyProtection="1"/>
    <xf numFmtId="0" fontId="3" fillId="9" borderId="8" xfId="0" applyFont="1" applyFill="1" applyBorder="1" applyAlignment="1" applyProtection="1">
      <alignment horizontal="right"/>
    </xf>
    <xf numFmtId="0" fontId="3" fillId="9" borderId="0" xfId="0" applyFont="1" applyFill="1" applyBorder="1" applyAlignment="1" applyProtection="1">
      <alignment horizontal="right"/>
    </xf>
    <xf numFmtId="0" fontId="3" fillId="9" borderId="20" xfId="0" applyFont="1" applyFill="1" applyBorder="1" applyAlignment="1" applyProtection="1">
      <alignment horizontal="center"/>
    </xf>
    <xf numFmtId="0" fontId="3" fillId="9" borderId="22" xfId="0" applyFont="1" applyFill="1" applyBorder="1" applyAlignment="1" applyProtection="1">
      <alignment horizontal="center"/>
    </xf>
    <xf numFmtId="0" fontId="3" fillId="9" borderId="16" xfId="0" applyFont="1" applyFill="1" applyBorder="1" applyAlignment="1" applyProtection="1">
      <alignment horizontal="center"/>
    </xf>
    <xf numFmtId="0" fontId="3" fillId="9" borderId="26" xfId="0" applyFont="1" applyFill="1" applyBorder="1" applyAlignment="1" applyProtection="1">
      <alignment horizontal="center" vertical="center"/>
    </xf>
    <xf numFmtId="0" fontId="3" fillId="9" borderId="10" xfId="0" applyFont="1" applyFill="1" applyBorder="1" applyProtection="1"/>
    <xf numFmtId="0" fontId="3" fillId="9" borderId="12" xfId="0" applyFont="1" applyFill="1" applyBorder="1" applyProtection="1"/>
    <xf numFmtId="0" fontId="3" fillId="9" borderId="18" xfId="0" applyFont="1" applyFill="1" applyBorder="1" applyAlignment="1" applyProtection="1">
      <alignment horizontal="center" vertical="center"/>
    </xf>
    <xf numFmtId="170" fontId="3" fillId="9" borderId="0" xfId="0" applyNumberFormat="1" applyFont="1" applyFill="1" applyBorder="1" applyAlignment="1" applyProtection="1">
      <alignment horizontal="center"/>
    </xf>
    <xf numFmtId="0" fontId="3" fillId="9" borderId="20" xfId="0" applyFont="1" applyFill="1" applyBorder="1" applyProtection="1"/>
    <xf numFmtId="0" fontId="3" fillId="9" borderId="27" xfId="0" applyFont="1" applyFill="1" applyBorder="1" applyAlignment="1" applyProtection="1">
      <alignment horizontal="center"/>
    </xf>
    <xf numFmtId="0" fontId="3" fillId="9" borderId="15" xfId="0" applyFont="1" applyFill="1" applyBorder="1" applyAlignment="1" applyProtection="1"/>
    <xf numFmtId="0" fontId="3" fillId="9" borderId="22" xfId="0" applyFont="1" applyFill="1" applyBorder="1" applyProtection="1"/>
    <xf numFmtId="0" fontId="10" fillId="9" borderId="0" xfId="0" applyFont="1" applyFill="1" applyBorder="1" applyAlignment="1" applyProtection="1">
      <alignment horizontal="center"/>
    </xf>
    <xf numFmtId="0" fontId="27" fillId="9" borderId="0" xfId="0" applyFont="1" applyFill="1" applyBorder="1" applyAlignment="1" applyProtection="1">
      <alignment vertical="center"/>
    </xf>
    <xf numFmtId="168" fontId="3" fillId="5" borderId="0" xfId="0" applyNumberFormat="1" applyFont="1" applyFill="1" applyProtection="1"/>
    <xf numFmtId="167" fontId="3" fillId="9" borderId="0" xfId="0" applyNumberFormat="1" applyFont="1" applyFill="1" applyBorder="1" applyProtection="1"/>
    <xf numFmtId="169" fontId="3" fillId="5" borderId="0" xfId="0" applyNumberFormat="1" applyFont="1" applyFill="1" applyProtection="1"/>
    <xf numFmtId="0" fontId="3" fillId="9" borderId="30" xfId="0" applyFont="1" applyFill="1" applyBorder="1" applyProtection="1"/>
    <xf numFmtId="0" fontId="3" fillId="9" borderId="31" xfId="0" applyFont="1" applyFill="1" applyBorder="1" applyProtection="1"/>
    <xf numFmtId="170" fontId="3" fillId="9" borderId="9" xfId="0" applyNumberFormat="1" applyFont="1" applyFill="1" applyBorder="1" applyAlignment="1" applyProtection="1">
      <alignment horizontal="center"/>
    </xf>
    <xf numFmtId="170" fontId="3" fillId="9" borderId="8" xfId="0" applyNumberFormat="1" applyFont="1" applyFill="1" applyBorder="1" applyAlignment="1" applyProtection="1">
      <alignment horizontal="center"/>
    </xf>
    <xf numFmtId="170" fontId="3" fillId="9" borderId="9" xfId="0" applyNumberFormat="1" applyFont="1" applyFill="1" applyBorder="1" applyAlignment="1" applyProtection="1"/>
    <xf numFmtId="170" fontId="3" fillId="9" borderId="8" xfId="0" applyNumberFormat="1" applyFont="1" applyFill="1" applyBorder="1" applyAlignment="1" applyProtection="1"/>
    <xf numFmtId="174" fontId="3" fillId="9" borderId="0" xfId="0" applyNumberFormat="1" applyFont="1" applyFill="1" applyBorder="1" applyAlignment="1" applyProtection="1">
      <alignment horizontal="center"/>
    </xf>
    <xf numFmtId="164" fontId="3" fillId="9" borderId="0" xfId="0" applyNumberFormat="1" applyFont="1" applyFill="1" applyBorder="1" applyAlignment="1" applyProtection="1">
      <alignment horizontal="center"/>
    </xf>
    <xf numFmtId="165" fontId="3" fillId="9" borderId="0" xfId="0" applyNumberFormat="1" applyFont="1" applyFill="1" applyBorder="1" applyAlignment="1" applyProtection="1">
      <alignment horizontal="center"/>
    </xf>
    <xf numFmtId="171" fontId="3" fillId="5" borderId="0" xfId="0" applyNumberFormat="1" applyFont="1" applyFill="1" applyProtection="1"/>
    <xf numFmtId="0" fontId="3" fillId="9" borderId="27" xfId="0" applyFont="1" applyFill="1" applyBorder="1" applyProtection="1"/>
    <xf numFmtId="165" fontId="3" fillId="9" borderId="15" xfId="0" applyNumberFormat="1" applyFont="1" applyFill="1" applyBorder="1" applyAlignment="1" applyProtection="1">
      <alignment horizontal="center"/>
    </xf>
    <xf numFmtId="0" fontId="3" fillId="9" borderId="32" xfId="0" applyFont="1" applyFill="1" applyBorder="1" applyProtection="1"/>
    <xf numFmtId="0" fontId="11" fillId="9" borderId="0" xfId="0" applyFont="1" applyFill="1" applyBorder="1" applyProtection="1"/>
    <xf numFmtId="171" fontId="10" fillId="9" borderId="0" xfId="0" applyNumberFormat="1" applyFont="1" applyFill="1" applyBorder="1" applyAlignment="1" applyProtection="1"/>
    <xf numFmtId="2" fontId="3" fillId="9" borderId="0" xfId="0" applyNumberFormat="1" applyFont="1" applyFill="1" applyBorder="1" applyProtection="1"/>
    <xf numFmtId="175" fontId="11" fillId="9" borderId="0" xfId="0" applyNumberFormat="1" applyFont="1" applyFill="1" applyBorder="1" applyAlignment="1" applyProtection="1"/>
    <xf numFmtId="0" fontId="3" fillId="9" borderId="11" xfId="0" applyFont="1" applyFill="1" applyBorder="1" applyProtection="1"/>
    <xf numFmtId="164" fontId="3" fillId="9" borderId="11" xfId="0" applyNumberFormat="1" applyFont="1" applyFill="1" applyBorder="1" applyProtection="1"/>
    <xf numFmtId="172" fontId="30" fillId="9" borderId="11" xfId="0" applyNumberFormat="1" applyFont="1" applyFill="1" applyBorder="1" applyAlignment="1" applyProtection="1"/>
    <xf numFmtId="0" fontId="30" fillId="9" borderId="11" xfId="0" applyFont="1" applyFill="1" applyBorder="1" applyAlignment="1" applyProtection="1">
      <alignment horizontal="center"/>
    </xf>
    <xf numFmtId="164" fontId="11" fillId="9" borderId="0" xfId="0" applyNumberFormat="1" applyFont="1" applyFill="1" applyBorder="1" applyAlignment="1" applyProtection="1">
      <alignment horizontal="center"/>
    </xf>
    <xf numFmtId="0" fontId="3" fillId="9" borderId="15" xfId="0" applyFont="1" applyFill="1" applyBorder="1" applyAlignment="1" applyProtection="1">
      <alignment horizontal="left"/>
    </xf>
    <xf numFmtId="0" fontId="3" fillId="9" borderId="15" xfId="0" applyFont="1" applyFill="1" applyBorder="1" applyAlignment="1" applyProtection="1">
      <alignment horizontal="right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170" fontId="3" fillId="0" borderId="0" xfId="0" applyNumberFormat="1" applyFont="1" applyAlignment="1" applyProtection="1">
      <alignment horizontal="center" vertical="center"/>
    </xf>
    <xf numFmtId="164" fontId="3" fillId="0" borderId="0" xfId="3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2" fontId="27" fillId="10" borderId="0" xfId="0" applyNumberFormat="1" applyFont="1" applyFill="1" applyBorder="1" applyAlignment="1" applyProtection="1">
      <alignment horizontal="center" vertical="center"/>
    </xf>
    <xf numFmtId="2" fontId="3" fillId="9" borderId="0" xfId="0" applyNumberFormat="1" applyFont="1" applyFill="1" applyBorder="1" applyAlignment="1" applyProtection="1">
      <alignment horizontal="center"/>
    </xf>
    <xf numFmtId="168" fontId="3" fillId="9" borderId="0" xfId="0" applyNumberFormat="1" applyFont="1" applyFill="1" applyBorder="1" applyProtection="1"/>
    <xf numFmtId="172" fontId="3" fillId="9" borderId="0" xfId="0" applyNumberFormat="1" applyFont="1" applyFill="1" applyBorder="1" applyProtection="1"/>
    <xf numFmtId="165" fontId="3" fillId="9" borderId="0" xfId="0" applyNumberFormat="1" applyFont="1" applyFill="1" applyBorder="1" applyProtection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11" fillId="9" borderId="10" xfId="0" applyFont="1" applyFill="1" applyBorder="1" applyProtection="1"/>
    <xf numFmtId="165" fontId="3" fillId="0" borderId="0" xfId="0" applyNumberFormat="1" applyFont="1" applyBorder="1" applyAlignment="1" applyProtection="1">
      <alignment horizontal="center" vertical="center"/>
    </xf>
    <xf numFmtId="0" fontId="3" fillId="12" borderId="8" xfId="0" applyFont="1" applyFill="1" applyBorder="1"/>
    <xf numFmtId="0" fontId="3" fillId="12" borderId="0" xfId="0" applyFont="1" applyFill="1" applyBorder="1"/>
    <xf numFmtId="0" fontId="3" fillId="12" borderId="9" xfId="0" applyFont="1" applyFill="1" applyBorder="1"/>
    <xf numFmtId="0" fontId="3" fillId="12" borderId="0" xfId="0" applyFont="1" applyFill="1" applyBorder="1" applyAlignment="1">
      <alignment horizontal="center"/>
    </xf>
    <xf numFmtId="2" fontId="3" fillId="10" borderId="0" xfId="0" applyNumberFormat="1" applyFont="1" applyFill="1" applyBorder="1" applyAlignment="1">
      <alignment horizontal="center"/>
    </xf>
    <xf numFmtId="0" fontId="3" fillId="12" borderId="10" xfId="0" applyFont="1" applyFill="1" applyBorder="1"/>
    <xf numFmtId="0" fontId="3" fillId="12" borderId="11" xfId="0" applyFont="1" applyFill="1" applyBorder="1"/>
    <xf numFmtId="176" fontId="11" fillId="10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/>
    <xf numFmtId="168" fontId="3" fillId="0" borderId="0" xfId="0" applyNumberFormat="1" applyFont="1" applyFill="1" applyProtection="1"/>
    <xf numFmtId="169" fontId="3" fillId="0" borderId="0" xfId="0" applyNumberFormat="1" applyFont="1" applyFill="1" applyProtection="1"/>
    <xf numFmtId="171" fontId="3" fillId="0" borderId="0" xfId="0" applyNumberFormat="1" applyFont="1" applyFill="1" applyProtection="1"/>
    <xf numFmtId="0" fontId="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/>
    <xf numFmtId="0" fontId="3" fillId="5" borderId="0" xfId="0" applyFont="1" applyFill="1" applyBorder="1" applyProtection="1"/>
    <xf numFmtId="0" fontId="31" fillId="5" borderId="0" xfId="0" applyFont="1" applyFill="1" applyBorder="1" applyAlignment="1" applyProtection="1">
      <alignment vertical="center"/>
    </xf>
    <xf numFmtId="0" fontId="3" fillId="5" borderId="15" xfId="0" applyFont="1" applyFill="1" applyBorder="1" applyProtection="1"/>
    <xf numFmtId="0" fontId="3" fillId="5" borderId="16" xfId="0" applyFont="1" applyFill="1" applyBorder="1" applyProtection="1"/>
    <xf numFmtId="0" fontId="3" fillId="5" borderId="0" xfId="0" applyFont="1" applyFill="1" applyBorder="1" applyAlignment="1" applyProtection="1">
      <alignment horizontal="right"/>
    </xf>
    <xf numFmtId="0" fontId="3" fillId="5" borderId="17" xfId="0" applyFont="1" applyFill="1" applyBorder="1" applyAlignment="1" applyProtection="1">
      <alignment horizontal="center"/>
    </xf>
    <xf numFmtId="0" fontId="27" fillId="5" borderId="0" xfId="0" applyFont="1" applyFill="1" applyBorder="1" applyAlignment="1" applyProtection="1">
      <alignment horizontal="center"/>
    </xf>
    <xf numFmtId="0" fontId="3" fillId="5" borderId="18" xfId="0" applyFont="1" applyFill="1" applyBorder="1" applyAlignment="1" applyProtection="1">
      <alignment horizontal="center"/>
    </xf>
    <xf numFmtId="0" fontId="3" fillId="5" borderId="24" xfId="0" applyFont="1" applyFill="1" applyBorder="1" applyAlignment="1" applyProtection="1"/>
    <xf numFmtId="0" fontId="3" fillId="5" borderId="18" xfId="0" applyFont="1" applyFill="1" applyBorder="1" applyProtection="1"/>
    <xf numFmtId="0" fontId="3" fillId="5" borderId="0" xfId="0" applyFont="1" applyFill="1" applyBorder="1" applyAlignment="1" applyProtection="1"/>
    <xf numFmtId="10" fontId="3" fillId="5" borderId="0" xfId="2" applyNumberFormat="1" applyFont="1" applyFill="1" applyBorder="1" applyAlignment="1" applyProtection="1">
      <alignment horizontal="center"/>
    </xf>
    <xf numFmtId="176" fontId="11" fillId="5" borderId="0" xfId="2" applyNumberFormat="1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164" fontId="3" fillId="5" borderId="0" xfId="3" applyNumberFormat="1" applyFont="1" applyFill="1" applyBorder="1" applyAlignment="1" applyProtection="1">
      <alignment horizontal="center" vertical="center"/>
    </xf>
    <xf numFmtId="1" fontId="3" fillId="5" borderId="0" xfId="0" applyNumberFormat="1" applyFont="1" applyFill="1" applyBorder="1" applyAlignment="1" applyProtection="1">
      <alignment horizontal="center"/>
    </xf>
    <xf numFmtId="1" fontId="3" fillId="5" borderId="0" xfId="0" applyNumberFormat="1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center"/>
    </xf>
    <xf numFmtId="0" fontId="3" fillId="5" borderId="11" xfId="3" applyNumberFormat="1" applyFont="1" applyFill="1" applyBorder="1" applyAlignment="1" applyProtection="1">
      <alignment horizontal="center"/>
    </xf>
    <xf numFmtId="170" fontId="3" fillId="5" borderId="0" xfId="0" applyNumberFormat="1" applyFont="1" applyFill="1" applyBorder="1" applyAlignment="1" applyProtection="1">
      <alignment horizontal="left"/>
    </xf>
    <xf numFmtId="0" fontId="3" fillId="5" borderId="20" xfId="0" applyFont="1" applyFill="1" applyBorder="1" applyAlignment="1" applyProtection="1">
      <alignment horizontal="center"/>
    </xf>
    <xf numFmtId="0" fontId="3" fillId="5" borderId="22" xfId="0" applyFont="1" applyFill="1" applyBorder="1" applyAlignment="1" applyProtection="1">
      <alignment horizontal="center"/>
    </xf>
    <xf numFmtId="172" fontId="3" fillId="5" borderId="0" xfId="0" applyNumberFormat="1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left"/>
    </xf>
    <xf numFmtId="164" fontId="11" fillId="5" borderId="0" xfId="0" applyNumberFormat="1" applyFont="1" applyFill="1" applyBorder="1" applyAlignment="1" applyProtection="1">
      <alignment horizontal="center"/>
    </xf>
    <xf numFmtId="0" fontId="3" fillId="5" borderId="23" xfId="0" applyFont="1" applyFill="1" applyBorder="1" applyAlignment="1" applyProtection="1">
      <alignment vertical="center"/>
    </xf>
    <xf numFmtId="0" fontId="3" fillId="5" borderId="24" xfId="0" applyFont="1" applyFill="1" applyBorder="1" applyAlignment="1" applyProtection="1">
      <alignment vertical="center"/>
    </xf>
    <xf numFmtId="164" fontId="18" fillId="5" borderId="0" xfId="0" applyNumberFormat="1" applyFont="1" applyFill="1" applyBorder="1" applyAlignment="1" applyProtection="1"/>
    <xf numFmtId="172" fontId="3" fillId="5" borderId="0" xfId="0" applyNumberFormat="1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164" fontId="3" fillId="5" borderId="8" xfId="0" applyNumberFormat="1" applyFont="1" applyFill="1" applyBorder="1" applyAlignment="1" applyProtection="1">
      <alignment horizontal="center" vertical="center"/>
    </xf>
    <xf numFmtId="170" fontId="3" fillId="5" borderId="0" xfId="0" applyNumberFormat="1" applyFont="1" applyFill="1" applyBorder="1" applyAlignment="1" applyProtection="1">
      <alignment horizontal="center"/>
    </xf>
    <xf numFmtId="0" fontId="3" fillId="5" borderId="20" xfId="0" applyFont="1" applyFill="1" applyBorder="1" applyProtection="1"/>
    <xf numFmtId="0" fontId="3" fillId="5" borderId="15" xfId="0" applyFont="1" applyFill="1" applyBorder="1" applyAlignment="1" applyProtection="1">
      <alignment horizontal="right"/>
    </xf>
    <xf numFmtId="0" fontId="3" fillId="5" borderId="27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/>
    <xf numFmtId="0" fontId="3" fillId="5" borderId="22" xfId="0" applyFont="1" applyFill="1" applyBorder="1" applyProtection="1"/>
    <xf numFmtId="0" fontId="10" fillId="5" borderId="15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left"/>
    </xf>
    <xf numFmtId="0" fontId="3" fillId="5" borderId="24" xfId="0" applyFont="1" applyFill="1" applyBorder="1" applyAlignment="1" applyProtection="1">
      <alignment horizontal="center" vertical="center"/>
    </xf>
    <xf numFmtId="170" fontId="38" fillId="5" borderId="0" xfId="0" applyNumberFormat="1" applyFont="1" applyFill="1" applyBorder="1" applyAlignment="1" applyProtection="1">
      <alignment horizontal="center" vertical="center"/>
    </xf>
    <xf numFmtId="170" fontId="3" fillId="5" borderId="0" xfId="0" applyNumberFormat="1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right" vertical="center"/>
    </xf>
    <xf numFmtId="0" fontId="3" fillId="5" borderId="15" xfId="0" applyFont="1" applyFill="1" applyBorder="1" applyAlignment="1" applyProtection="1">
      <alignment horizontal="left" vertical="center"/>
    </xf>
    <xf numFmtId="0" fontId="27" fillId="5" borderId="0" xfId="0" applyFont="1" applyFill="1" applyBorder="1" applyAlignment="1" applyProtection="1"/>
    <xf numFmtId="167" fontId="3" fillId="5" borderId="0" xfId="0" applyNumberFormat="1" applyFont="1" applyFill="1" applyBorder="1" applyProtection="1"/>
    <xf numFmtId="0" fontId="3" fillId="5" borderId="23" xfId="0" applyFont="1" applyFill="1" applyBorder="1" applyProtection="1"/>
    <xf numFmtId="0" fontId="3" fillId="5" borderId="24" xfId="0" applyFont="1" applyFill="1" applyBorder="1" applyAlignment="1" applyProtection="1">
      <alignment horizontal="left"/>
    </xf>
    <xf numFmtId="0" fontId="3" fillId="5" borderId="45" xfId="0" applyFont="1" applyFill="1" applyBorder="1" applyAlignment="1" applyProtection="1">
      <alignment horizontal="left"/>
    </xf>
    <xf numFmtId="0" fontId="3" fillId="5" borderId="44" xfId="0" applyFont="1" applyFill="1" applyBorder="1" applyAlignment="1" applyProtection="1">
      <alignment horizontal="left"/>
    </xf>
    <xf numFmtId="0" fontId="3" fillId="5" borderId="24" xfId="0" applyFont="1" applyFill="1" applyBorder="1" applyProtection="1"/>
    <xf numFmtId="167" fontId="3" fillId="5" borderId="26" xfId="0" applyNumberFormat="1" applyFont="1" applyFill="1" applyBorder="1" applyProtection="1"/>
    <xf numFmtId="0" fontId="3" fillId="5" borderId="45" xfId="0" applyFont="1" applyFill="1" applyBorder="1" applyProtection="1"/>
    <xf numFmtId="0" fontId="3" fillId="5" borderId="44" xfId="0" applyFont="1" applyFill="1" applyBorder="1" applyProtection="1"/>
    <xf numFmtId="0" fontId="3" fillId="5" borderId="26" xfId="0" applyFont="1" applyFill="1" applyBorder="1" applyProtection="1"/>
    <xf numFmtId="167" fontId="3" fillId="5" borderId="18" xfId="0" applyNumberFormat="1" applyFont="1" applyFill="1" applyBorder="1" applyProtection="1"/>
    <xf numFmtId="167" fontId="3" fillId="5" borderId="22" xfId="0" applyNumberFormat="1" applyFont="1" applyFill="1" applyBorder="1" applyProtection="1"/>
    <xf numFmtId="167" fontId="3" fillId="5" borderId="24" xfId="0" applyNumberFormat="1" applyFont="1" applyFill="1" applyBorder="1" applyProtection="1"/>
    <xf numFmtId="2" fontId="3" fillId="5" borderId="0" xfId="0" applyNumberFormat="1" applyFont="1" applyFill="1" applyBorder="1" applyAlignment="1" applyProtection="1">
      <alignment horizontal="center"/>
    </xf>
    <xf numFmtId="0" fontId="3" fillId="5" borderId="26" xfId="0" applyFont="1" applyFill="1" applyBorder="1" applyAlignment="1" applyProtection="1">
      <alignment horizontal="center"/>
    </xf>
    <xf numFmtId="0" fontId="3" fillId="5" borderId="17" xfId="0" applyFont="1" applyFill="1" applyBorder="1" applyProtection="1"/>
    <xf numFmtId="172" fontId="11" fillId="5" borderId="18" xfId="0" applyNumberFormat="1" applyFont="1" applyFill="1" applyBorder="1" applyAlignment="1" applyProtection="1"/>
    <xf numFmtId="172" fontId="11" fillId="5" borderId="0" xfId="0" applyNumberFormat="1" applyFont="1" applyFill="1" applyBorder="1" applyAlignment="1" applyProtection="1"/>
    <xf numFmtId="172" fontId="3" fillId="5" borderId="0" xfId="0" applyNumberFormat="1" applyFont="1" applyFill="1" applyBorder="1" applyAlignment="1" applyProtection="1"/>
    <xf numFmtId="170" fontId="3" fillId="5" borderId="9" xfId="0" applyNumberFormat="1" applyFont="1" applyFill="1" applyBorder="1" applyAlignment="1" applyProtection="1"/>
    <xf numFmtId="170" fontId="3" fillId="5" borderId="0" xfId="0" applyNumberFormat="1" applyFont="1" applyFill="1" applyBorder="1" applyAlignment="1" applyProtection="1"/>
    <xf numFmtId="174" fontId="3" fillId="5" borderId="0" xfId="0" applyNumberFormat="1" applyFont="1" applyFill="1" applyBorder="1" applyAlignment="1" applyProtection="1">
      <alignment horizontal="center"/>
    </xf>
    <xf numFmtId="164" fontId="3" fillId="5" borderId="0" xfId="0" applyNumberFormat="1" applyFont="1" applyFill="1" applyBorder="1" applyAlignment="1" applyProtection="1">
      <alignment horizontal="center"/>
    </xf>
    <xf numFmtId="0" fontId="3" fillId="5" borderId="19" xfId="0" applyFont="1" applyFill="1" applyBorder="1" applyProtection="1"/>
    <xf numFmtId="164" fontId="3" fillId="5" borderId="46" xfId="0" applyNumberFormat="1" applyFont="1" applyFill="1" applyBorder="1" applyAlignment="1" applyProtection="1">
      <alignment horizontal="center"/>
    </xf>
    <xf numFmtId="168" fontId="3" fillId="5" borderId="0" xfId="0" applyNumberFormat="1" applyFont="1" applyFill="1" applyBorder="1" applyProtection="1"/>
    <xf numFmtId="171" fontId="10" fillId="5" borderId="0" xfId="0" applyNumberFormat="1" applyFont="1" applyFill="1" applyBorder="1" applyAlignment="1" applyProtection="1">
      <alignment vertical="center"/>
    </xf>
    <xf numFmtId="0" fontId="11" fillId="5" borderId="0" xfId="0" applyFont="1" applyFill="1" applyBorder="1" applyProtection="1"/>
    <xf numFmtId="171" fontId="10" fillId="5" borderId="0" xfId="0" applyNumberFormat="1" applyFont="1" applyFill="1" applyBorder="1" applyAlignment="1" applyProtection="1"/>
    <xf numFmtId="175" fontId="11" fillId="5" borderId="0" xfId="0" applyNumberFormat="1" applyFont="1" applyFill="1" applyBorder="1" applyAlignment="1" applyProtection="1"/>
    <xf numFmtId="0" fontId="29" fillId="5" borderId="0" xfId="1" applyFont="1" applyFill="1" applyBorder="1" applyAlignment="1" applyProtection="1">
      <alignment vertical="center"/>
    </xf>
    <xf numFmtId="172" fontId="30" fillId="5" borderId="0" xfId="0" applyNumberFormat="1" applyFont="1" applyFill="1" applyBorder="1" applyAlignment="1" applyProtection="1"/>
    <xf numFmtId="0" fontId="30" fillId="5" borderId="0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/>
    <xf numFmtId="0" fontId="10" fillId="5" borderId="0" xfId="0" applyFont="1" applyFill="1" applyBorder="1" applyAlignment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5" borderId="8" xfId="0" applyFont="1" applyFill="1" applyBorder="1" applyProtection="1"/>
    <xf numFmtId="0" fontId="3" fillId="5" borderId="9" xfId="0" applyFont="1" applyFill="1" applyBorder="1" applyProtection="1"/>
    <xf numFmtId="0" fontId="31" fillId="5" borderId="8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/>
    <xf numFmtId="0" fontId="3" fillId="5" borderId="9" xfId="0" applyFont="1" applyFill="1" applyBorder="1" applyAlignment="1" applyProtection="1"/>
    <xf numFmtId="0" fontId="3" fillId="5" borderId="8" xfId="0" applyFont="1" applyFill="1" applyBorder="1" applyAlignment="1" applyProtection="1">
      <alignment horizontal="right"/>
    </xf>
    <xf numFmtId="0" fontId="3" fillId="5" borderId="9" xfId="0" applyFont="1" applyFill="1" applyBorder="1" applyAlignment="1" applyProtection="1">
      <alignment horizontal="left"/>
    </xf>
    <xf numFmtId="0" fontId="3" fillId="5" borderId="9" xfId="0" applyFont="1" applyFill="1" applyBorder="1" applyAlignment="1" applyProtection="1">
      <alignment vertical="center"/>
    </xf>
    <xf numFmtId="0" fontId="30" fillId="5" borderId="9" xfId="0" applyFont="1" applyFill="1" applyBorder="1" applyProtection="1"/>
    <xf numFmtId="0" fontId="11" fillId="5" borderId="9" xfId="0" applyFont="1" applyFill="1" applyBorder="1" applyProtection="1"/>
    <xf numFmtId="0" fontId="11" fillId="5" borderId="8" xfId="0" applyFont="1" applyFill="1" applyBorder="1" applyProtection="1"/>
    <xf numFmtId="0" fontId="32" fillId="5" borderId="9" xfId="0" applyFont="1" applyFill="1" applyBorder="1" applyAlignment="1" applyProtection="1"/>
    <xf numFmtId="0" fontId="10" fillId="5" borderId="8" xfId="0" applyFont="1" applyFill="1" applyBorder="1" applyAlignment="1" applyProtection="1"/>
    <xf numFmtId="0" fontId="10" fillId="5" borderId="9" xfId="0" applyFont="1" applyFill="1" applyBorder="1" applyAlignment="1" applyProtection="1"/>
    <xf numFmtId="0" fontId="3" fillId="5" borderId="10" xfId="0" applyFont="1" applyFill="1" applyBorder="1" applyAlignment="1" applyProtection="1"/>
    <xf numFmtId="0" fontId="3" fillId="5" borderId="11" xfId="0" applyFont="1" applyFill="1" applyBorder="1" applyAlignment="1" applyProtection="1"/>
    <xf numFmtId="168" fontId="3" fillId="5" borderId="0" xfId="0" applyNumberFormat="1" applyFont="1" applyFill="1" applyBorder="1" applyAlignment="1" applyProtection="1">
      <alignment horizontal="center" vertical="center"/>
    </xf>
    <xf numFmtId="170" fontId="37" fillId="5" borderId="0" xfId="0" applyNumberFormat="1" applyFont="1" applyFill="1" applyBorder="1" applyAlignment="1" applyProtection="1">
      <alignment horizontal="center" vertical="center"/>
    </xf>
    <xf numFmtId="0" fontId="31" fillId="9" borderId="6" xfId="0" applyFont="1" applyFill="1" applyBorder="1" applyAlignment="1" applyProtection="1">
      <alignment vertical="center"/>
    </xf>
    <xf numFmtId="0" fontId="14" fillId="5" borderId="6" xfId="0" applyFont="1" applyFill="1" applyBorder="1" applyAlignment="1" applyProtection="1"/>
    <xf numFmtId="172" fontId="37" fillId="5" borderId="0" xfId="0" applyNumberFormat="1" applyFont="1" applyFill="1" applyBorder="1" applyAlignment="1" applyProtection="1">
      <alignment horizontal="center" vertical="center"/>
    </xf>
    <xf numFmtId="172" fontId="3" fillId="5" borderId="9" xfId="0" applyNumberFormat="1" applyFont="1" applyFill="1" applyBorder="1" applyAlignment="1" applyProtection="1">
      <alignment horizontal="center" vertical="center"/>
    </xf>
    <xf numFmtId="172" fontId="38" fillId="5" borderId="0" xfId="0" applyNumberFormat="1" applyFont="1" applyFill="1" applyBorder="1" applyAlignment="1" applyProtection="1">
      <alignment horizontal="center" vertical="center"/>
    </xf>
    <xf numFmtId="2" fontId="3" fillId="5" borderId="9" xfId="0" applyNumberFormat="1" applyFont="1" applyFill="1" applyBorder="1" applyAlignment="1" applyProtection="1">
      <alignment horizontal="center" vertical="center"/>
    </xf>
    <xf numFmtId="2" fontId="3" fillId="5" borderId="0" xfId="3" applyNumberFormat="1" applyFont="1" applyFill="1" applyBorder="1" applyAlignment="1" applyProtection="1">
      <alignment horizontal="center"/>
    </xf>
    <xf numFmtId="2" fontId="11" fillId="5" borderId="9" xfId="0" applyNumberFormat="1" applyFont="1" applyFill="1" applyBorder="1" applyAlignment="1" applyProtection="1">
      <alignment horizontal="center" vertical="center"/>
    </xf>
    <xf numFmtId="2" fontId="3" fillId="5" borderId="0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5" borderId="0" xfId="0" applyNumberFormat="1" applyFont="1" applyFill="1" applyBorder="1" applyAlignment="1" applyProtection="1"/>
    <xf numFmtId="0" fontId="1" fillId="5" borderId="0" xfId="1" applyFill="1" applyAlignment="1" applyProtection="1"/>
    <xf numFmtId="0" fontId="15" fillId="5" borderId="0" xfId="0" applyFont="1" applyFill="1" applyBorder="1" applyAlignment="1" applyProtection="1">
      <alignment vertical="center"/>
    </xf>
    <xf numFmtId="0" fontId="3" fillId="5" borderId="15" xfId="0" applyFont="1" applyFill="1" applyBorder="1" applyAlignment="1" applyProtection="1">
      <alignment vertical="center"/>
    </xf>
    <xf numFmtId="168" fontId="11" fillId="5" borderId="0" xfId="0" applyNumberFormat="1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</xf>
    <xf numFmtId="178" fontId="11" fillId="5" borderId="0" xfId="0" applyNumberFormat="1" applyFont="1" applyFill="1" applyBorder="1" applyAlignment="1" applyProtection="1">
      <alignment vertical="center"/>
    </xf>
    <xf numFmtId="171" fontId="3" fillId="5" borderId="0" xfId="0" applyNumberFormat="1" applyFont="1" applyFill="1" applyBorder="1" applyAlignment="1" applyProtection="1">
      <alignment vertical="center"/>
    </xf>
    <xf numFmtId="176" fontId="11" fillId="2" borderId="1" xfId="2" applyNumberFormat="1" applyFont="1" applyFill="1" applyBorder="1" applyAlignment="1" applyProtection="1">
      <alignment horizontal="center" vertical="center"/>
    </xf>
    <xf numFmtId="170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Protection="1"/>
    <xf numFmtId="0" fontId="10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/>
    </xf>
    <xf numFmtId="176" fontId="11" fillId="5" borderId="0" xfId="2" applyNumberFormat="1" applyFont="1" applyFill="1" applyBorder="1" applyAlignment="1" applyProtection="1">
      <alignment horizontal="center"/>
    </xf>
    <xf numFmtId="0" fontId="3" fillId="5" borderId="0" xfId="0" quotePrefix="1" applyFont="1" applyFill="1" applyBorder="1" applyProtection="1"/>
    <xf numFmtId="0" fontId="3" fillId="5" borderId="0" xfId="0" quotePrefix="1" applyFont="1" applyFill="1" applyBorder="1" applyAlignment="1" applyProtection="1">
      <alignment horizontal="center"/>
    </xf>
    <xf numFmtId="0" fontId="3" fillId="5" borderId="11" xfId="0" applyFont="1" applyFill="1" applyBorder="1" applyProtection="1"/>
    <xf numFmtId="0" fontId="3" fillId="5" borderId="13" xfId="0" applyFont="1" applyFill="1" applyBorder="1" applyProtection="1"/>
    <xf numFmtId="0" fontId="3" fillId="5" borderId="10" xfId="0" applyFont="1" applyFill="1" applyBorder="1" applyProtection="1"/>
    <xf numFmtId="0" fontId="3" fillId="5" borderId="12" xfId="0" applyFont="1" applyFill="1" applyBorder="1" applyProtection="1"/>
    <xf numFmtId="0" fontId="3" fillId="5" borderId="0" xfId="0" applyFont="1" applyFill="1" applyAlignment="1" applyProtection="1">
      <alignment horizontal="center"/>
    </xf>
    <xf numFmtId="2" fontId="3" fillId="5" borderId="0" xfId="0" applyNumberFormat="1" applyFont="1" applyFill="1" applyProtection="1"/>
    <xf numFmtId="0" fontId="3" fillId="5" borderId="11" xfId="0" applyFont="1" applyFill="1" applyBorder="1" applyAlignment="1" applyProtection="1">
      <alignment horizontal="left" indent="1"/>
    </xf>
    <xf numFmtId="0" fontId="3" fillId="5" borderId="11" xfId="0" quotePrefix="1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left" indent="1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2" fontId="3" fillId="5" borderId="0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2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7" fillId="9" borderId="0" xfId="0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left"/>
    </xf>
    <xf numFmtId="0" fontId="3" fillId="9" borderId="9" xfId="0" applyFont="1" applyFill="1" applyBorder="1" applyAlignment="1" applyProtection="1">
      <alignment horizontal="left"/>
    </xf>
    <xf numFmtId="0" fontId="3" fillId="9" borderId="15" xfId="0" applyFont="1" applyFill="1" applyBorder="1" applyAlignment="1" applyProtection="1">
      <alignment horizontal="center"/>
    </xf>
    <xf numFmtId="17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center"/>
    </xf>
    <xf numFmtId="0" fontId="3" fillId="5" borderId="26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/>
    </xf>
    <xf numFmtId="0" fontId="37" fillId="5" borderId="0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0" fontId="11" fillId="5" borderId="0" xfId="0" applyFont="1" applyFill="1" applyBorder="1"/>
    <xf numFmtId="0" fontId="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2" fontId="11" fillId="5" borderId="0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/>
    </xf>
    <xf numFmtId="0" fontId="3" fillId="5" borderId="14" xfId="0" applyFont="1" applyFill="1" applyBorder="1"/>
    <xf numFmtId="0" fontId="11" fillId="5" borderId="7" xfId="0" applyFont="1" applyFill="1" applyBorder="1"/>
    <xf numFmtId="0" fontId="11" fillId="5" borderId="5" xfId="0" applyFont="1" applyFill="1" applyBorder="1"/>
    <xf numFmtId="0" fontId="11" fillId="5" borderId="6" xfId="0" applyFont="1" applyFill="1" applyBorder="1"/>
    <xf numFmtId="0" fontId="11" fillId="5" borderId="6" xfId="0" applyFont="1" applyFill="1" applyBorder="1" applyAlignment="1">
      <alignment vertical="center"/>
    </xf>
    <xf numFmtId="0" fontId="11" fillId="5" borderId="41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/>
    </xf>
    <xf numFmtId="0" fontId="11" fillId="5" borderId="42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1" fontId="11" fillId="5" borderId="0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quotePrefix="1" applyFont="1" applyFill="1" applyBorder="1"/>
    <xf numFmtId="0" fontId="11" fillId="5" borderId="0" xfId="0" applyFont="1" applyFill="1" applyBorder="1" applyAlignment="1"/>
    <xf numFmtId="0" fontId="13" fillId="5" borderId="0" xfId="0" applyFont="1" applyFill="1" applyBorder="1" applyAlignment="1">
      <alignment vertical="center"/>
    </xf>
    <xf numFmtId="0" fontId="11" fillId="5" borderId="0" xfId="0" quotePrefix="1" applyFont="1" applyFill="1" applyBorder="1" applyAlignment="1">
      <alignment vertical="center"/>
    </xf>
    <xf numFmtId="0" fontId="3" fillId="5" borderId="0" xfId="0" applyFont="1" applyFill="1" applyBorder="1" applyAlignment="1">
      <alignment horizontal="left" indent="1"/>
    </xf>
    <xf numFmtId="170" fontId="11" fillId="0" borderId="0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/>
    <xf numFmtId="0" fontId="6" fillId="5" borderId="9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0" fontId="0" fillId="5" borderId="0" xfId="0" applyFill="1" applyBorder="1"/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center"/>
      <protection locked="0"/>
    </xf>
    <xf numFmtId="0" fontId="3" fillId="2" borderId="40" xfId="0" applyFont="1" applyFill="1" applyBorder="1" applyAlignment="1" applyProtection="1">
      <alignment horizontal="center"/>
      <protection locked="0"/>
    </xf>
    <xf numFmtId="177" fontId="3" fillId="10" borderId="39" xfId="0" applyNumberFormat="1" applyFont="1" applyFill="1" applyBorder="1" applyAlignment="1" applyProtection="1">
      <alignment horizontal="center"/>
      <protection locked="0"/>
    </xf>
    <xf numFmtId="10" fontId="3" fillId="0" borderId="39" xfId="2" applyNumberFormat="1" applyFont="1" applyFill="1" applyBorder="1" applyAlignment="1">
      <alignment horizontal="center"/>
    </xf>
    <xf numFmtId="0" fontId="31" fillId="9" borderId="6" xfId="0" applyFont="1" applyFill="1" applyBorder="1" applyAlignment="1" applyProtection="1"/>
    <xf numFmtId="0" fontId="0" fillId="5" borderId="0" xfId="0" applyFill="1" applyProtection="1"/>
    <xf numFmtId="0" fontId="0" fillId="0" borderId="0" xfId="0" applyProtection="1"/>
    <xf numFmtId="0" fontId="0" fillId="9" borderId="8" xfId="0" applyFill="1" applyBorder="1" applyProtection="1"/>
    <xf numFmtId="0" fontId="0" fillId="9" borderId="0" xfId="0" applyFill="1" applyBorder="1" applyProtection="1"/>
    <xf numFmtId="0" fontId="0" fillId="9" borderId="15" xfId="0" applyFill="1" applyBorder="1" applyProtection="1"/>
    <xf numFmtId="0" fontId="0" fillId="9" borderId="15" xfId="0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0" fillId="9" borderId="9" xfId="0" applyFill="1" applyBorder="1" applyProtection="1"/>
    <xf numFmtId="0" fontId="0" fillId="9" borderId="16" xfId="0" applyFill="1" applyBorder="1" applyProtection="1"/>
    <xf numFmtId="0" fontId="0" fillId="9" borderId="17" xfId="0" applyFill="1" applyBorder="1" applyAlignment="1" applyProtection="1">
      <alignment horizontal="center"/>
    </xf>
    <xf numFmtId="0" fontId="25" fillId="9" borderId="0" xfId="0" applyFont="1" applyFill="1" applyBorder="1" applyAlignment="1" applyProtection="1">
      <alignment horizontal="center"/>
    </xf>
    <xf numFmtId="0" fontId="0" fillId="9" borderId="18" xfId="0" applyFill="1" applyBorder="1" applyAlignment="1" applyProtection="1">
      <alignment horizontal="center"/>
    </xf>
    <xf numFmtId="0" fontId="0" fillId="9" borderId="24" xfId="0" applyFill="1" applyBorder="1" applyAlignment="1" applyProtection="1"/>
    <xf numFmtId="0" fontId="0" fillId="9" borderId="18" xfId="0" applyFill="1" applyBorder="1" applyProtection="1"/>
    <xf numFmtId="0" fontId="0" fillId="9" borderId="0" xfId="0" applyFill="1" applyBorder="1" applyAlignment="1" applyProtection="1"/>
    <xf numFmtId="0" fontId="0" fillId="9" borderId="9" xfId="0" applyFill="1" applyBorder="1" applyAlignment="1" applyProtection="1">
      <alignment horizontal="center"/>
    </xf>
    <xf numFmtId="0" fontId="36" fillId="9" borderId="0" xfId="0" applyFont="1" applyFill="1" applyBorder="1" applyAlignment="1" applyProtection="1">
      <alignment horizontal="center" vertical="center"/>
    </xf>
    <xf numFmtId="0" fontId="36" fillId="9" borderId="0" xfId="0" applyFont="1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10" fontId="0" fillId="9" borderId="0" xfId="2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2" fillId="2" borderId="0" xfId="3" applyNumberFormat="1" applyFont="1" applyFill="1" applyBorder="1" applyAlignment="1" applyProtection="1">
      <alignment horizontal="center"/>
    </xf>
    <xf numFmtId="1" fontId="0" fillId="9" borderId="0" xfId="0" applyNumberFormat="1" applyFill="1" applyBorder="1" applyAlignment="1" applyProtection="1">
      <alignment horizontal="center"/>
    </xf>
    <xf numFmtId="0" fontId="0" fillId="9" borderId="8" xfId="0" applyFill="1" applyBorder="1" applyAlignment="1" applyProtection="1"/>
    <xf numFmtId="0" fontId="15" fillId="9" borderId="5" xfId="0" applyFont="1" applyFill="1" applyBorder="1" applyAlignment="1" applyProtection="1">
      <alignment horizontal="center"/>
    </xf>
    <xf numFmtId="0" fontId="0" fillId="9" borderId="7" xfId="0" applyFill="1" applyBorder="1" applyProtection="1"/>
    <xf numFmtId="0" fontId="0" fillId="9" borderId="19" xfId="0" applyFill="1" applyBorder="1" applyAlignment="1" applyProtection="1">
      <alignment horizontal="center"/>
    </xf>
    <xf numFmtId="1" fontId="2" fillId="2" borderId="0" xfId="3" applyNumberFormat="1" applyFont="1" applyFill="1" applyBorder="1" applyAlignment="1" applyProtection="1">
      <alignment horizontal="center"/>
    </xf>
    <xf numFmtId="0" fontId="0" fillId="9" borderId="9" xfId="0" applyFill="1" applyBorder="1" applyAlignment="1" applyProtection="1"/>
    <xf numFmtId="0" fontId="0" fillId="2" borderId="9" xfId="0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right"/>
    </xf>
    <xf numFmtId="172" fontId="0" fillId="9" borderId="0" xfId="0" applyNumberFormat="1" applyFill="1" applyBorder="1" applyAlignment="1" applyProtection="1">
      <alignment horizontal="left"/>
    </xf>
    <xf numFmtId="0" fontId="0" fillId="9" borderId="20" xfId="0" applyFill="1" applyBorder="1" applyAlignment="1" applyProtection="1">
      <alignment horizontal="center"/>
    </xf>
    <xf numFmtId="0" fontId="0" fillId="9" borderId="22" xfId="0" applyFill="1" applyBorder="1" applyAlignment="1" applyProtection="1">
      <alignment horizontal="center"/>
    </xf>
    <xf numFmtId="0" fontId="0" fillId="9" borderId="16" xfId="0" applyFill="1" applyBorder="1" applyAlignment="1" applyProtection="1">
      <alignment horizontal="center"/>
    </xf>
    <xf numFmtId="172" fontId="0" fillId="9" borderId="0" xfId="0" applyNumberFormat="1" applyFill="1" applyBorder="1" applyAlignment="1" applyProtection="1">
      <alignment horizontal="right"/>
    </xf>
    <xf numFmtId="0" fontId="0" fillId="9" borderId="0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center"/>
    </xf>
    <xf numFmtId="164" fontId="24" fillId="9" borderId="0" xfId="0" applyNumberFormat="1" applyFont="1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 vertical="center"/>
    </xf>
    <xf numFmtId="164" fontId="26" fillId="9" borderId="0" xfId="0" applyNumberFormat="1" applyFont="1" applyFill="1" applyBorder="1" applyAlignment="1" applyProtection="1"/>
    <xf numFmtId="172" fontId="0" fillId="9" borderId="0" xfId="0" applyNumberFormat="1" applyFill="1" applyBorder="1" applyAlignment="1" applyProtection="1">
      <alignment horizontal="center"/>
    </xf>
    <xf numFmtId="0" fontId="0" fillId="9" borderId="10" xfId="0" applyFill="1" applyBorder="1" applyProtection="1"/>
    <xf numFmtId="0" fontId="0" fillId="9" borderId="12" xfId="0" applyFill="1" applyBorder="1" applyProtection="1"/>
    <xf numFmtId="0" fontId="0" fillId="9" borderId="18" xfId="0" applyFill="1" applyBorder="1" applyAlignment="1" applyProtection="1">
      <alignment horizontal="center" vertical="center"/>
    </xf>
    <xf numFmtId="170" fontId="0" fillId="9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9" borderId="20" xfId="0" applyFill="1" applyBorder="1" applyProtection="1"/>
    <xf numFmtId="0" fontId="0" fillId="9" borderId="27" xfId="0" applyFill="1" applyBorder="1" applyAlignment="1" applyProtection="1">
      <alignment horizontal="center"/>
    </xf>
    <xf numFmtId="0" fontId="0" fillId="9" borderId="15" xfId="0" applyFill="1" applyBorder="1" applyAlignment="1" applyProtection="1"/>
    <xf numFmtId="0" fontId="0" fillId="9" borderId="22" xfId="0" applyFill="1" applyBorder="1" applyProtection="1"/>
    <xf numFmtId="0" fontId="20" fillId="9" borderId="0" xfId="0" applyFont="1" applyFill="1" applyBorder="1" applyAlignment="1" applyProtection="1">
      <alignment horizontal="center"/>
    </xf>
    <xf numFmtId="166" fontId="0" fillId="9" borderId="0" xfId="0" applyNumberFormat="1" applyFill="1" applyBorder="1" applyProtection="1"/>
    <xf numFmtId="172" fontId="0" fillId="9" borderId="0" xfId="0" applyNumberFormat="1" applyFill="1" applyBorder="1" applyProtection="1"/>
    <xf numFmtId="168" fontId="0" fillId="5" borderId="0" xfId="0" applyNumberFormat="1" applyFill="1" applyProtection="1"/>
    <xf numFmtId="167" fontId="0" fillId="9" borderId="0" xfId="0" applyNumberFormat="1" applyFill="1" applyBorder="1" applyProtection="1"/>
    <xf numFmtId="169" fontId="0" fillId="5" borderId="0" xfId="0" applyNumberFormat="1" applyFill="1" applyProtection="1"/>
    <xf numFmtId="0" fontId="0" fillId="9" borderId="30" xfId="0" applyFill="1" applyBorder="1" applyProtection="1"/>
    <xf numFmtId="0" fontId="0" fillId="9" borderId="31" xfId="0" applyFill="1" applyBorder="1" applyProtection="1"/>
    <xf numFmtId="170" fontId="0" fillId="9" borderId="9" xfId="0" applyNumberFormat="1" applyFill="1" applyBorder="1" applyAlignment="1" applyProtection="1">
      <alignment horizontal="center"/>
    </xf>
    <xf numFmtId="170" fontId="0" fillId="9" borderId="8" xfId="0" applyNumberFormat="1" applyFill="1" applyBorder="1" applyAlignment="1" applyProtection="1">
      <alignment horizontal="center"/>
    </xf>
    <xf numFmtId="170" fontId="0" fillId="9" borderId="9" xfId="0" applyNumberFormat="1" applyFill="1" applyBorder="1" applyAlignment="1" applyProtection="1"/>
    <xf numFmtId="170" fontId="0" fillId="9" borderId="8" xfId="0" applyNumberFormat="1" applyFill="1" applyBorder="1" applyAlignment="1" applyProtection="1"/>
    <xf numFmtId="174" fontId="0" fillId="9" borderId="0" xfId="0" applyNumberFormat="1" applyFill="1" applyBorder="1" applyAlignment="1" applyProtection="1">
      <alignment horizontal="center"/>
    </xf>
    <xf numFmtId="164" fontId="0" fillId="9" borderId="0" xfId="0" applyNumberFormat="1" applyFill="1" applyBorder="1" applyAlignment="1" applyProtection="1">
      <alignment horizontal="center"/>
    </xf>
    <xf numFmtId="165" fontId="0" fillId="9" borderId="0" xfId="0" applyNumberFormat="1" applyFill="1" applyBorder="1" applyAlignment="1" applyProtection="1">
      <alignment horizontal="center"/>
    </xf>
    <xf numFmtId="171" fontId="0" fillId="5" borderId="0" xfId="0" applyNumberFormat="1" applyFill="1" applyProtection="1"/>
    <xf numFmtId="0" fontId="0" fillId="9" borderId="27" xfId="0" applyFill="1" applyBorder="1" applyProtection="1"/>
    <xf numFmtId="165" fontId="0" fillId="9" borderId="15" xfId="0" applyNumberFormat="1" applyFill="1" applyBorder="1" applyAlignment="1" applyProtection="1">
      <alignment horizontal="center"/>
    </xf>
    <xf numFmtId="0" fontId="0" fillId="9" borderId="32" xfId="0" applyFill="1" applyBorder="1" applyProtection="1"/>
    <xf numFmtId="173" fontId="0" fillId="9" borderId="0" xfId="0" applyNumberFormat="1" applyFill="1" applyBorder="1" applyProtection="1"/>
    <xf numFmtId="0" fontId="21" fillId="9" borderId="0" xfId="0" applyFont="1" applyFill="1" applyBorder="1" applyProtection="1"/>
    <xf numFmtId="171" fontId="20" fillId="9" borderId="0" xfId="0" applyNumberFormat="1" applyFont="1" applyFill="1" applyBorder="1" applyAlignment="1" applyProtection="1"/>
    <xf numFmtId="175" fontId="21" fillId="9" borderId="0" xfId="0" applyNumberFormat="1" applyFont="1" applyFill="1" applyBorder="1" applyAlignment="1" applyProtection="1"/>
    <xf numFmtId="0" fontId="21" fillId="9" borderId="10" xfId="0" applyFont="1" applyFill="1" applyBorder="1" applyProtection="1"/>
    <xf numFmtId="0" fontId="0" fillId="9" borderId="11" xfId="0" applyFill="1" applyBorder="1" applyProtection="1"/>
    <xf numFmtId="164" fontId="0" fillId="9" borderId="11" xfId="0" applyNumberFormat="1" applyFill="1" applyBorder="1" applyProtection="1"/>
    <xf numFmtId="172" fontId="22" fillId="9" borderId="11" xfId="0" applyNumberFormat="1" applyFont="1" applyFill="1" applyBorder="1" applyAlignment="1" applyProtection="1"/>
    <xf numFmtId="0" fontId="22" fillId="9" borderId="11" xfId="0" applyFont="1" applyFill="1" applyBorder="1" applyAlignment="1" applyProtection="1">
      <alignment horizontal="center"/>
    </xf>
    <xf numFmtId="0" fontId="34" fillId="10" borderId="10" xfId="0" applyFont="1" applyFill="1" applyBorder="1" applyAlignment="1" applyProtection="1">
      <alignment horizontal="left"/>
    </xf>
    <xf numFmtId="0" fontId="0" fillId="10" borderId="11" xfId="0" applyFill="1" applyBorder="1" applyAlignment="1" applyProtection="1">
      <alignment horizontal="left"/>
    </xf>
    <xf numFmtId="0" fontId="0" fillId="10" borderId="12" xfId="0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center" vertical="center"/>
    </xf>
    <xf numFmtId="0" fontId="3" fillId="2" borderId="11" xfId="3" applyNumberFormat="1" applyFont="1" applyFill="1" applyBorder="1" applyAlignment="1" applyProtection="1">
      <alignment horizontal="center"/>
    </xf>
    <xf numFmtId="172" fontId="3" fillId="10" borderId="0" xfId="0" applyNumberFormat="1" applyFont="1" applyFill="1" applyBorder="1" applyAlignment="1" applyProtection="1">
      <alignment horizontal="right"/>
    </xf>
    <xf numFmtId="0" fontId="9" fillId="5" borderId="6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0" fontId="3" fillId="5" borderId="0" xfId="0" applyFont="1" applyFill="1"/>
    <xf numFmtId="0" fontId="11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3" fillId="9" borderId="0" xfId="0" applyFont="1" applyFill="1" applyBorder="1" applyAlignment="1" applyProtection="1">
      <alignment horizontal="left"/>
    </xf>
    <xf numFmtId="0" fontId="3" fillId="9" borderId="0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 vertical="center"/>
    </xf>
    <xf numFmtId="0" fontId="40" fillId="0" borderId="0" xfId="0" applyFont="1"/>
    <xf numFmtId="0" fontId="41" fillId="0" borderId="0" xfId="0" applyFont="1"/>
    <xf numFmtId="0" fontId="3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" vertical="center"/>
    </xf>
    <xf numFmtId="177" fontId="11" fillId="5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" fillId="0" borderId="0" xfId="1" applyNumberForma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1" fontId="3" fillId="2" borderId="0" xfId="3" applyNumberFormat="1" applyFont="1" applyFill="1" applyBorder="1" applyAlignment="1" applyProtection="1">
      <alignment horizontal="center"/>
    </xf>
    <xf numFmtId="1" fontId="3" fillId="0" borderId="9" xfId="0" applyNumberFormat="1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right" vertical="center"/>
    </xf>
    <xf numFmtId="10" fontId="3" fillId="9" borderId="0" xfId="2" applyNumberFormat="1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left" vertical="center"/>
    </xf>
    <xf numFmtId="0" fontId="3" fillId="9" borderId="0" xfId="0" applyFont="1" applyFill="1" applyBorder="1" applyAlignment="1" applyProtection="1">
      <alignment vertical="center"/>
    </xf>
    <xf numFmtId="172" fontId="3" fillId="9" borderId="0" xfId="0" applyNumberFormat="1" applyFont="1" applyFill="1" applyBorder="1" applyAlignment="1" applyProtection="1">
      <alignment horizontal="left"/>
    </xf>
    <xf numFmtId="164" fontId="3" fillId="5" borderId="0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11" fillId="0" borderId="1" xfId="0" applyFont="1" applyFill="1" applyBorder="1" applyAlignment="1" applyProtection="1">
      <alignment horizontal="center"/>
    </xf>
    <xf numFmtId="0" fontId="1" fillId="0" borderId="0" xfId="1" applyAlignment="1" applyProtection="1"/>
    <xf numFmtId="164" fontId="11" fillId="0" borderId="0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/>
    <xf numFmtId="0" fontId="11" fillId="3" borderId="0" xfId="0" applyFont="1" applyFill="1" applyBorder="1"/>
    <xf numFmtId="177" fontId="11" fillId="5" borderId="42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 applyProtection="1">
      <alignment horizontal="center" vertical="center"/>
    </xf>
    <xf numFmtId="10" fontId="3" fillId="4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0" xfId="1" applyFill="1" applyAlignment="1" applyProtection="1"/>
    <xf numFmtId="0" fontId="1" fillId="5" borderId="0" xfId="1" applyFill="1" applyBorder="1" applyAlignment="1" applyProtection="1"/>
    <xf numFmtId="0" fontId="15" fillId="0" borderId="0" xfId="0" applyFont="1" applyFill="1" applyBorder="1" applyAlignment="1"/>
    <xf numFmtId="0" fontId="27" fillId="0" borderId="0" xfId="0" applyFont="1"/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77" fontId="3" fillId="5" borderId="0" xfId="0" applyNumberFormat="1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/>
    </xf>
    <xf numFmtId="177" fontId="33" fillId="5" borderId="16" xfId="0" applyNumberFormat="1" applyFont="1" applyFill="1" applyBorder="1" applyAlignment="1">
      <alignment horizontal="center"/>
    </xf>
    <xf numFmtId="177" fontId="33" fillId="5" borderId="2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/>
    </xf>
    <xf numFmtId="0" fontId="10" fillId="6" borderId="5" xfId="0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center" vertical="center" wrapText="1"/>
    </xf>
    <xf numFmtId="0" fontId="10" fillId="6" borderId="8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 vertical="center"/>
    </xf>
    <xf numFmtId="0" fontId="10" fillId="5" borderId="9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3" fillId="5" borderId="0" xfId="0" quotePrefix="1" applyFont="1" applyFill="1" applyBorder="1" applyAlignment="1" applyProtection="1">
      <alignment horizontal="center" vertical="center"/>
    </xf>
    <xf numFmtId="170" fontId="3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165" fontId="3" fillId="5" borderId="0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2" fontId="3" fillId="5" borderId="0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42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8" fontId="3" fillId="5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43" fillId="5" borderId="47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/>
    </xf>
    <xf numFmtId="0" fontId="43" fillId="5" borderId="0" xfId="0" applyFont="1" applyFill="1" applyBorder="1" applyAlignment="1">
      <alignment horizontal="center"/>
    </xf>
    <xf numFmtId="0" fontId="43" fillId="5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44" fillId="5" borderId="0" xfId="0" applyFont="1" applyFill="1" applyBorder="1" applyAlignment="1">
      <alignment horizontal="center"/>
    </xf>
    <xf numFmtId="0" fontId="33" fillId="5" borderId="26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0" fontId="14" fillId="12" borderId="6" xfId="0" applyFont="1" applyFill="1" applyBorder="1" applyAlignment="1" applyProtection="1">
      <alignment horizontal="center" vertical="center"/>
    </xf>
    <xf numFmtId="0" fontId="14" fillId="12" borderId="7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9" borderId="6" xfId="0" applyFont="1" applyFill="1" applyBorder="1" applyAlignment="1" applyProtection="1">
      <alignment horizontal="center"/>
    </xf>
    <xf numFmtId="0" fontId="14" fillId="9" borderId="7" xfId="0" applyFont="1" applyFill="1" applyBorder="1" applyAlignment="1" applyProtection="1">
      <alignment horizontal="center"/>
    </xf>
    <xf numFmtId="0" fontId="0" fillId="10" borderId="5" xfId="0" applyFill="1" applyBorder="1" applyAlignment="1" applyProtection="1">
      <alignment horizontal="center" vertical="center"/>
    </xf>
    <xf numFmtId="0" fontId="0" fillId="10" borderId="7" xfId="0" applyFill="1" applyBorder="1" applyAlignment="1" applyProtection="1">
      <alignment horizontal="center" vertical="center"/>
    </xf>
    <xf numFmtId="0" fontId="0" fillId="10" borderId="8" xfId="0" applyFill="1" applyBorder="1" applyAlignment="1" applyProtection="1">
      <alignment horizontal="center" vertical="center"/>
    </xf>
    <xf numFmtId="0" fontId="0" fillId="10" borderId="9" xfId="0" applyFill="1" applyBorder="1" applyAlignment="1" applyProtection="1">
      <alignment horizontal="center" vertical="center"/>
    </xf>
    <xf numFmtId="0" fontId="0" fillId="10" borderId="10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1" borderId="5" xfId="0" applyFill="1" applyBorder="1" applyAlignment="1" applyProtection="1">
      <alignment horizontal="center" vertical="center"/>
    </xf>
    <xf numFmtId="0" fontId="0" fillId="11" borderId="7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0" fillId="11" borderId="9" xfId="0" applyFill="1" applyBorder="1" applyAlignment="1" applyProtection="1">
      <alignment horizontal="center" vertical="center"/>
    </xf>
    <xf numFmtId="0" fontId="0" fillId="11" borderId="10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center"/>
    </xf>
    <xf numFmtId="0" fontId="31" fillId="9" borderId="5" xfId="0" applyFont="1" applyFill="1" applyBorder="1" applyAlignment="1" applyProtection="1">
      <alignment horizontal="center"/>
    </xf>
    <xf numFmtId="0" fontId="31" fillId="9" borderId="6" xfId="0" applyFont="1" applyFill="1" applyBorder="1" applyAlignment="1" applyProtection="1">
      <alignment horizontal="center"/>
    </xf>
    <xf numFmtId="0" fontId="0" fillId="9" borderId="23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</xf>
    <xf numFmtId="0" fontId="0" fillId="9" borderId="16" xfId="0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center" vertical="center"/>
    </xf>
    <xf numFmtId="0" fontId="0" fillId="9" borderId="21" xfId="0" applyFill="1" applyBorder="1" applyAlignment="1" applyProtection="1">
      <alignment horizontal="center" vertical="center"/>
    </xf>
    <xf numFmtId="0" fontId="0" fillId="9" borderId="25" xfId="0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left"/>
    </xf>
    <xf numFmtId="0" fontId="0" fillId="9" borderId="28" xfId="0" applyFill="1" applyBorder="1" applyAlignment="1" applyProtection="1">
      <alignment horizontal="center"/>
    </xf>
    <xf numFmtId="0" fontId="0" fillId="9" borderId="15" xfId="0" applyFill="1" applyBorder="1" applyAlignment="1" applyProtection="1">
      <alignment horizontal="center"/>
    </xf>
    <xf numFmtId="0" fontId="0" fillId="9" borderId="29" xfId="0" applyFill="1" applyBorder="1" applyAlignment="1" applyProtection="1">
      <alignment horizontal="center"/>
    </xf>
    <xf numFmtId="0" fontId="0" fillId="10" borderId="8" xfId="0" applyFill="1" applyBorder="1" applyAlignment="1" applyProtection="1">
      <alignment horizontal="left"/>
    </xf>
    <xf numFmtId="0" fontId="0" fillId="10" borderId="0" xfId="0" applyFill="1" applyBorder="1" applyAlignment="1" applyProtection="1">
      <alignment horizontal="left"/>
    </xf>
    <xf numFmtId="0" fontId="0" fillId="10" borderId="9" xfId="0" applyFill="1" applyBorder="1" applyAlignment="1" applyProtection="1">
      <alignment horizontal="left"/>
    </xf>
    <xf numFmtId="171" fontId="20" fillId="9" borderId="0" xfId="0" applyNumberFormat="1" applyFont="1" applyFill="1" applyBorder="1" applyAlignment="1" applyProtection="1">
      <alignment horizontal="center" vertical="center"/>
    </xf>
    <xf numFmtId="172" fontId="21" fillId="9" borderId="0" xfId="0" applyNumberFormat="1" applyFont="1" applyFill="1" applyBorder="1" applyAlignment="1" applyProtection="1">
      <alignment horizontal="center"/>
    </xf>
    <xf numFmtId="170" fontId="0" fillId="9" borderId="0" xfId="0" applyNumberFormat="1" applyFill="1" applyBorder="1" applyAlignment="1" applyProtection="1">
      <alignment horizontal="center"/>
    </xf>
    <xf numFmtId="0" fontId="1" fillId="9" borderId="0" xfId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horizontal="center"/>
    </xf>
    <xf numFmtId="0" fontId="21" fillId="9" borderId="11" xfId="0" applyFont="1" applyFill="1" applyBorder="1" applyAlignment="1" applyProtection="1">
      <alignment horizontal="center"/>
    </xf>
    <xf numFmtId="0" fontId="21" fillId="9" borderId="12" xfId="0" applyFont="1" applyFill="1" applyBorder="1" applyAlignment="1" applyProtection="1">
      <alignment horizontal="center"/>
    </xf>
    <xf numFmtId="0" fontId="10" fillId="10" borderId="5" xfId="0" applyFont="1" applyFill="1" applyBorder="1" applyAlignment="1" applyProtection="1">
      <alignment horizontal="center"/>
    </xf>
    <xf numFmtId="0" fontId="10" fillId="10" borderId="6" xfId="0" applyFont="1" applyFill="1" applyBorder="1" applyAlignment="1" applyProtection="1">
      <alignment horizontal="center"/>
    </xf>
    <xf numFmtId="0" fontId="10" fillId="10" borderId="7" xfId="0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left"/>
    </xf>
    <xf numFmtId="0" fontId="3" fillId="10" borderId="0" xfId="0" applyFont="1" applyFill="1" applyBorder="1" applyAlignment="1" applyProtection="1">
      <alignment horizontal="left"/>
    </xf>
    <xf numFmtId="0" fontId="3" fillId="10" borderId="9" xfId="0" applyFont="1" applyFill="1" applyBorder="1" applyAlignment="1" applyProtection="1">
      <alignment horizontal="left"/>
    </xf>
    <xf numFmtId="0" fontId="33" fillId="10" borderId="10" xfId="0" applyFont="1" applyFill="1" applyBorder="1" applyAlignment="1" applyProtection="1">
      <alignment horizontal="left"/>
    </xf>
    <xf numFmtId="0" fontId="33" fillId="10" borderId="11" xfId="0" applyFont="1" applyFill="1" applyBorder="1" applyAlignment="1" applyProtection="1">
      <alignment horizontal="left"/>
    </xf>
    <xf numFmtId="0" fontId="33" fillId="10" borderId="12" xfId="0" applyFont="1" applyFill="1" applyBorder="1" applyAlignment="1" applyProtection="1">
      <alignment horizontal="left"/>
    </xf>
    <xf numFmtId="172" fontId="27" fillId="9" borderId="0" xfId="0" applyNumberFormat="1" applyFont="1" applyFill="1" applyBorder="1" applyAlignment="1" applyProtection="1">
      <alignment horizontal="center" vertical="center"/>
    </xf>
    <xf numFmtId="0" fontId="27" fillId="9" borderId="0" xfId="0" applyFont="1" applyFill="1" applyBorder="1" applyAlignment="1" applyProtection="1">
      <alignment horizontal="center" vertical="center"/>
    </xf>
    <xf numFmtId="0" fontId="27" fillId="9" borderId="0" xfId="0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left"/>
    </xf>
    <xf numFmtId="0" fontId="3" fillId="9" borderId="9" xfId="0" applyFont="1" applyFill="1" applyBorder="1" applyAlignment="1" applyProtection="1">
      <alignment horizontal="left"/>
    </xf>
    <xf numFmtId="0" fontId="3" fillId="9" borderId="21" xfId="0" applyFont="1" applyFill="1" applyBorder="1" applyAlignment="1" applyProtection="1">
      <alignment horizontal="center" vertical="center"/>
    </xf>
    <xf numFmtId="0" fontId="3" fillId="9" borderId="25" xfId="0" applyFont="1" applyFill="1" applyBorder="1" applyAlignment="1" applyProtection="1">
      <alignment horizontal="center" vertical="center"/>
    </xf>
    <xf numFmtId="0" fontId="3" fillId="9" borderId="28" xfId="0" applyFont="1" applyFill="1" applyBorder="1" applyAlignment="1" applyProtection="1">
      <alignment horizontal="center"/>
    </xf>
    <xf numFmtId="0" fontId="3" fillId="9" borderId="15" xfId="0" applyFont="1" applyFill="1" applyBorder="1" applyAlignment="1" applyProtection="1">
      <alignment horizontal="center"/>
    </xf>
    <xf numFmtId="0" fontId="3" fillId="9" borderId="29" xfId="0" applyFont="1" applyFill="1" applyBorder="1" applyAlignment="1" applyProtection="1">
      <alignment horizontal="center"/>
    </xf>
    <xf numFmtId="172" fontId="11" fillId="9" borderId="0" xfId="0" applyNumberFormat="1" applyFont="1" applyFill="1" applyBorder="1" applyAlignment="1" applyProtection="1">
      <alignment horizontal="center"/>
    </xf>
    <xf numFmtId="172" fontId="3" fillId="9" borderId="0" xfId="0" applyNumberFormat="1" applyFont="1" applyFill="1" applyBorder="1" applyAlignment="1" applyProtection="1">
      <alignment horizontal="center"/>
    </xf>
    <xf numFmtId="171" fontId="10" fillId="9" borderId="0" xfId="0" applyNumberFormat="1" applyFont="1" applyFill="1" applyBorder="1" applyAlignment="1" applyProtection="1">
      <alignment horizontal="center" vertical="center"/>
    </xf>
    <xf numFmtId="0" fontId="29" fillId="9" borderId="0" xfId="1" applyFont="1" applyFill="1" applyAlignment="1" applyProtection="1">
      <alignment horizontal="center" vertical="center"/>
    </xf>
    <xf numFmtId="0" fontId="27" fillId="9" borderId="0" xfId="0" applyFont="1" applyFill="1" applyAlignment="1" applyProtection="1">
      <alignment horizontal="center"/>
    </xf>
    <xf numFmtId="0" fontId="11" fillId="9" borderId="11" xfId="0" applyFont="1" applyFill="1" applyBorder="1" applyAlignment="1" applyProtection="1">
      <alignment horizontal="center"/>
    </xf>
    <xf numFmtId="0" fontId="11" fillId="9" borderId="12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7" xfId="0" applyFont="1" applyFill="1" applyBorder="1" applyAlignment="1" applyProtection="1">
      <alignment horizontal="center" vertical="center"/>
    </xf>
    <xf numFmtId="0" fontId="3" fillId="11" borderId="8" xfId="0" applyFont="1" applyFill="1" applyBorder="1" applyAlignment="1" applyProtection="1">
      <alignment horizontal="center" vertical="center"/>
    </xf>
    <xf numFmtId="0" fontId="3" fillId="11" borderId="9" xfId="0" applyFont="1" applyFill="1" applyBorder="1" applyAlignment="1" applyProtection="1">
      <alignment horizontal="center" vertical="center"/>
    </xf>
    <xf numFmtId="0" fontId="3" fillId="11" borderId="10" xfId="0" applyFont="1" applyFill="1" applyBorder="1" applyAlignment="1" applyProtection="1">
      <alignment horizontal="center" vertical="center"/>
    </xf>
    <xf numFmtId="0" fontId="3" fillId="11" borderId="12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7" xfId="0" applyFont="1" applyFill="1" applyBorder="1" applyAlignment="1" applyProtection="1">
      <alignment horizontal="center" vertical="center"/>
    </xf>
    <xf numFmtId="0" fontId="3" fillId="10" borderId="8" xfId="0" applyFont="1" applyFill="1" applyBorder="1" applyAlignment="1" applyProtection="1">
      <alignment horizontal="center" vertical="center"/>
    </xf>
    <xf numFmtId="0" fontId="3" fillId="10" borderId="9" xfId="0" applyFont="1" applyFill="1" applyBorder="1" applyAlignment="1" applyProtection="1">
      <alignment horizontal="center" vertical="center"/>
    </xf>
    <xf numFmtId="0" fontId="3" fillId="10" borderId="10" xfId="0" applyFont="1" applyFill="1" applyBorder="1" applyAlignment="1" applyProtection="1">
      <alignment horizontal="center" vertical="center"/>
    </xf>
    <xf numFmtId="0" fontId="3" fillId="10" borderId="12" xfId="0" applyFont="1" applyFill="1" applyBorder="1" applyAlignment="1" applyProtection="1">
      <alignment horizontal="center" vertical="center"/>
    </xf>
    <xf numFmtId="0" fontId="31" fillId="9" borderId="5" xfId="0" applyFont="1" applyFill="1" applyBorder="1" applyAlignment="1" applyProtection="1">
      <alignment horizontal="center" vertical="center"/>
    </xf>
    <xf numFmtId="0" fontId="31" fillId="9" borderId="6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9" borderId="23" xfId="0" applyFont="1" applyFill="1" applyBorder="1" applyAlignment="1" applyProtection="1">
      <alignment horizontal="center" vertical="center"/>
    </xf>
    <xf numFmtId="0" fontId="3" fillId="9" borderId="24" xfId="0" applyFont="1" applyFill="1" applyBorder="1" applyAlignment="1" applyProtection="1">
      <alignment horizontal="center" vertical="center"/>
    </xf>
    <xf numFmtId="0" fontId="3" fillId="9" borderId="16" xfId="0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center"/>
    </xf>
    <xf numFmtId="0" fontId="27" fillId="9" borderId="8" xfId="0" applyFont="1" applyFill="1" applyBorder="1" applyAlignment="1" applyProtection="1">
      <alignment horizontal="center" vertical="center"/>
    </xf>
    <xf numFmtId="0" fontId="27" fillId="9" borderId="9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178" fontId="11" fillId="5" borderId="0" xfId="0" applyNumberFormat="1" applyFont="1" applyFill="1" applyBorder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33" fillId="5" borderId="43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center" vertical="center"/>
    </xf>
    <xf numFmtId="0" fontId="3" fillId="13" borderId="25" xfId="0" applyFont="1" applyFill="1" applyBorder="1" applyAlignment="1" applyProtection="1">
      <alignment horizontal="center" vertical="center"/>
    </xf>
    <xf numFmtId="0" fontId="3" fillId="11" borderId="21" xfId="0" applyFont="1" applyFill="1" applyBorder="1" applyAlignment="1" applyProtection="1">
      <alignment horizontal="center" vertical="center"/>
    </xf>
    <xf numFmtId="0" fontId="3" fillId="11" borderId="25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/>
    </xf>
    <xf numFmtId="0" fontId="14" fillId="5" borderId="6" xfId="0" applyFont="1" applyFill="1" applyBorder="1" applyAlignment="1" applyProtection="1">
      <alignment horizontal="center"/>
    </xf>
    <xf numFmtId="0" fontId="14" fillId="5" borderId="7" xfId="0" applyFont="1" applyFill="1" applyBorder="1" applyAlignment="1" applyProtection="1">
      <alignment horizontal="center"/>
    </xf>
    <xf numFmtId="0" fontId="37" fillId="5" borderId="0" xfId="0" applyFont="1" applyFill="1" applyBorder="1" applyAlignment="1" applyProtection="1">
      <alignment horizontal="center" vertical="center"/>
    </xf>
    <xf numFmtId="0" fontId="15" fillId="5" borderId="6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left"/>
    </xf>
    <xf numFmtId="0" fontId="3" fillId="8" borderId="21" xfId="0" applyFont="1" applyFill="1" applyBorder="1" applyAlignment="1" applyProtection="1">
      <alignment horizontal="center" vertical="center"/>
    </xf>
    <xf numFmtId="0" fontId="3" fillId="8" borderId="25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5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15" fillId="5" borderId="5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9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14" borderId="21" xfId="0" applyFont="1" applyFill="1" applyBorder="1" applyAlignment="1" applyProtection="1">
      <alignment horizontal="center" vertical="center"/>
    </xf>
    <xf numFmtId="0" fontId="3" fillId="14" borderId="25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46" fillId="5" borderId="0" xfId="0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/>
    </xf>
    <xf numFmtId="0" fontId="33" fillId="5" borderId="0" xfId="0" applyFont="1" applyFill="1" applyBorder="1" applyAlignment="1">
      <alignment horizontal="center" vertical="center"/>
    </xf>
  </cellXfs>
  <cellStyles count="4">
    <cellStyle name="1000-sep (2 dec)" xfId="3" builtinId="3"/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'SG 50'!$A$58:$Y$58</c:f>
          <c:strCache>
            <c:ptCount val="1"/>
            <c:pt idx="0">
              <c:v>Temperaturdrift i forstærkeren med et tryk på 10 kg, som svarer til Vout på 1 volt</c:v>
            </c:pt>
          </c:strCache>
        </c:strRef>
      </c:tx>
      <c:layout>
        <c:manualLayout>
          <c:xMode val="edge"/>
          <c:yMode val="edge"/>
          <c:x val="0.15448429246594425"/>
          <c:y val="3.3840947546531358E-2"/>
        </c:manualLayout>
      </c:layout>
      <c:txPr>
        <a:bodyPr/>
        <a:lstStyle/>
        <a:p>
          <a:pPr>
            <a:defRPr sz="1600" b="1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'SG 50'!$K$60:$N$60</c:f>
              <c:strCache>
                <c:ptCount val="1"/>
                <c:pt idx="0">
                  <c:v>Vout [v]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12"/>
          </c:marker>
          <c:dLbls>
            <c:txPr>
              <a:bodyPr/>
              <a:lstStyle/>
              <a:p>
                <a:pPr>
                  <a:defRPr sz="1200"/>
                </a:pPr>
                <a:endParaRPr lang="da-DK"/>
              </a:p>
            </c:txPr>
            <c:dLblPos val="t"/>
            <c:showVal val="1"/>
          </c:dLbls>
          <c:cat>
            <c:numRef>
              <c:f>'SG 50'!$O$59:$Y$59</c:f>
              <c:numCache>
                <c:formatCode>General</c:formatCode>
                <c:ptCount val="11"/>
                <c:pt idx="0">
                  <c:v>32</c:v>
                </c:pt>
                <c:pt idx="1">
                  <c:v>28</c:v>
                </c:pt>
                <c:pt idx="2">
                  <c:v>25</c:v>
                </c:pt>
                <c:pt idx="3">
                  <c:v>24</c:v>
                </c:pt>
                <c:pt idx="4">
                  <c:v>21</c:v>
                </c:pt>
                <c:pt idx="5">
                  <c:v>17</c:v>
                </c:pt>
                <c:pt idx="6">
                  <c:v>20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32</c:v>
                </c:pt>
              </c:numCache>
            </c:numRef>
          </c:cat>
          <c:val>
            <c:numRef>
              <c:f>'SG 50'!$O$60:$Y$60</c:f>
              <c:numCache>
                <c:formatCode>0.0</c:formatCode>
                <c:ptCount val="11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val>
        </c:ser>
        <c:hiLowLines/>
        <c:marker val="1"/>
        <c:axId val="134732800"/>
        <c:axId val="134739072"/>
      </c:lineChart>
      <c:catAx>
        <c:axId val="134732800"/>
        <c:scaling>
          <c:orientation val="minMax"/>
        </c:scaling>
        <c:axPos val="b"/>
        <c:majorGridlines/>
        <c:title>
          <c:tx>
            <c:strRef>
              <c:f>'SG 50'!$K$59:$N$59</c:f>
              <c:strCache>
                <c:ptCount val="1"/>
                <c:pt idx="0">
                  <c:v>Amb. Temp. [°C]</c:v>
                </c:pt>
              </c:strCache>
            </c:strRef>
          </c:tx>
          <c:layout/>
          <c:txPr>
            <a:bodyPr/>
            <a:lstStyle/>
            <a:p>
              <a:pPr>
                <a:defRPr sz="1400" b="1"/>
              </a:pPr>
              <a:endParaRPr lang="da-DK"/>
            </a:p>
          </c:txPr>
        </c:title>
        <c:numFmt formatCode="General" sourceLinked="1"/>
        <c:minorTickMark val="out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4739072"/>
        <c:crosses val="autoZero"/>
        <c:auto val="1"/>
        <c:lblAlgn val="ctr"/>
        <c:lblOffset val="100"/>
        <c:tickLblSkip val="1"/>
        <c:tickMarkSkip val="1"/>
      </c:catAx>
      <c:valAx>
        <c:axId val="134739072"/>
        <c:scaling>
          <c:orientation val="minMax"/>
        </c:scaling>
        <c:axPos val="l"/>
        <c:majorGridlines/>
        <c:title>
          <c:tx>
            <c:strRef>
              <c:f>'SG 50'!$K$60:$N$60</c:f>
              <c:strCache>
                <c:ptCount val="1"/>
                <c:pt idx="0">
                  <c:v>Vout [v]</c:v>
                </c:pt>
              </c:strCache>
            </c:strRef>
          </c:tx>
          <c:layout>
            <c:manualLayout>
              <c:xMode val="edge"/>
              <c:yMode val="edge"/>
              <c:x val="1.3215037027794379E-2"/>
              <c:y val="0.44321736378697346"/>
            </c:manualLayout>
          </c:layout>
          <c:txPr>
            <a:bodyPr/>
            <a:lstStyle/>
            <a:p>
              <a:pPr>
                <a:defRPr sz="1400" b="1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.0" sourceLinked="1"/>
        <c:minorTickMark val="out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4732800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4138615865880283"/>
          <c:w val="0.14048974555335444"/>
          <c:h val="0.21130590585675171"/>
        </c:manualLayout>
      </c:layout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'SG 50'!$A$93:$Z$93</c:f>
          <c:strCache>
            <c:ptCount val="1"/>
            <c:pt idx="0">
              <c:v>Vægten som funktion af omdrejninger med monteret fjeder</c:v>
            </c:pt>
          </c:strCache>
        </c:strRef>
      </c:tx>
      <c:layout>
        <c:manualLayout>
          <c:xMode val="edge"/>
          <c:yMode val="edge"/>
          <c:x val="0.15448429246594436"/>
          <c:y val="3.3840947546531372E-2"/>
        </c:manualLayout>
      </c:layout>
      <c:txPr>
        <a:bodyPr/>
        <a:lstStyle/>
        <a:p>
          <a:pPr>
            <a:defRPr sz="1600" b="1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'SG 50'!$K$96:$N$96</c:f>
              <c:strCache>
                <c:ptCount val="1"/>
                <c:pt idx="0">
                  <c:v>Vægt [kg]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12"/>
          </c:marker>
          <c:dLbls>
            <c:txPr>
              <a:bodyPr/>
              <a:lstStyle/>
              <a:p>
                <a:pPr>
                  <a:defRPr sz="1200"/>
                </a:pPr>
                <a:endParaRPr lang="da-DK"/>
              </a:p>
            </c:txPr>
            <c:dLblPos val="t"/>
            <c:showVal val="1"/>
          </c:dLbls>
          <c:trendline>
            <c:trendlineType val="linear"/>
          </c:trendline>
          <c:cat>
            <c:numRef>
              <c:f>'SG 50'!$O$94:$Y$94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'SG 50'!$O$96:$Y$96</c:f>
              <c:numCache>
                <c:formatCode>0.0</c:formatCode>
                <c:ptCount val="11"/>
                <c:pt idx="0">
                  <c:v>0</c:v>
                </c:pt>
                <c:pt idx="1">
                  <c:v>2.4</c:v>
                </c:pt>
                <c:pt idx="2">
                  <c:v>5.6999999999999993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22</c:v>
                </c:pt>
                <c:pt idx="8">
                  <c:v>26</c:v>
                </c:pt>
                <c:pt idx="9">
                  <c:v>29</c:v>
                </c:pt>
                <c:pt idx="10">
                  <c:v>33</c:v>
                </c:pt>
              </c:numCache>
            </c:numRef>
          </c:val>
        </c:ser>
        <c:ser>
          <c:idx val="1"/>
          <c:order val="1"/>
          <c:tx>
            <c:strRef>
              <c:f>'SG 50'!$K$95:$N$95</c:f>
              <c:strCache>
                <c:ptCount val="1"/>
                <c:pt idx="0">
                  <c:v>Vout [v] </c:v>
                </c:pt>
              </c:strCache>
            </c:strRef>
          </c:tx>
          <c:val>
            <c:numRef>
              <c:f>'SG 50'!$O$95:$Y$95</c:f>
              <c:numCache>
                <c:formatCode>0.0</c:formatCode>
                <c:ptCount val="11"/>
                <c:pt idx="0">
                  <c:v>0</c:v>
                </c:pt>
                <c:pt idx="1">
                  <c:v>0.24</c:v>
                </c:pt>
                <c:pt idx="2">
                  <c:v>0.56999999999999995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1.9</c:v>
                </c:pt>
                <c:pt idx="7">
                  <c:v>2.2000000000000002</c:v>
                </c:pt>
                <c:pt idx="8">
                  <c:v>2.6</c:v>
                </c:pt>
                <c:pt idx="9">
                  <c:v>2.9</c:v>
                </c:pt>
                <c:pt idx="10">
                  <c:v>3.3</c:v>
                </c:pt>
              </c:numCache>
            </c:numRef>
          </c:val>
        </c:ser>
        <c:hiLowLines/>
        <c:marker val="1"/>
        <c:axId val="134806144"/>
        <c:axId val="135209728"/>
      </c:lineChart>
      <c:catAx>
        <c:axId val="134806144"/>
        <c:scaling>
          <c:orientation val="minMax"/>
        </c:scaling>
        <c:axPos val="b"/>
        <c:majorGridlines/>
        <c:title>
          <c:tx>
            <c:strRef>
              <c:f>'SG 50'!$K$94:$N$94</c:f>
              <c:strCache>
                <c:ptCount val="1"/>
                <c:pt idx="0">
                  <c:v>Omdrejning</c:v>
                </c:pt>
              </c:strCache>
            </c:strRef>
          </c:tx>
          <c:layout/>
          <c:txPr>
            <a:bodyPr/>
            <a:lstStyle/>
            <a:p>
              <a:pPr>
                <a:defRPr sz="1400" b="1"/>
              </a:pPr>
              <a:endParaRPr lang="da-DK"/>
            </a:p>
          </c:txPr>
        </c:title>
        <c:numFmt formatCode="General" sourceLinked="1"/>
        <c:minorTickMark val="out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209728"/>
        <c:crosses val="autoZero"/>
        <c:auto val="1"/>
        <c:lblAlgn val="ctr"/>
        <c:lblOffset val="100"/>
        <c:tickLblSkip val="1"/>
        <c:tickMarkSkip val="1"/>
      </c:catAx>
      <c:valAx>
        <c:axId val="135209728"/>
        <c:scaling>
          <c:orientation val="minMax"/>
          <c:min val="0"/>
        </c:scaling>
        <c:axPos val="l"/>
        <c:majorGridlines/>
        <c:title>
          <c:tx>
            <c:strRef>
              <c:f>'SG 50'!$A$95:$F$95</c:f>
              <c:strCache>
                <c:ptCount val="1"/>
                <c:pt idx="0">
                  <c:v>Vout [v] og Vægt [kg]</c:v>
                </c:pt>
              </c:strCache>
            </c:strRef>
          </c:tx>
          <c:layout>
            <c:manualLayout>
              <c:xMode val="edge"/>
              <c:yMode val="edge"/>
              <c:x val="1.4327074837079894E-2"/>
              <c:y val="0.33492625604540549"/>
            </c:manualLayout>
          </c:layout>
          <c:txPr>
            <a:bodyPr/>
            <a:lstStyle/>
            <a:p>
              <a:pPr>
                <a:defRPr sz="1400" b="1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.0" sourceLinked="1"/>
        <c:minorTickMark val="out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4806144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5156849381617461"/>
          <c:y val="0.4138615865880283"/>
          <c:w val="0.10487525165843455"/>
          <c:h val="9.6936816908038778E-2"/>
        </c:manualLayout>
      </c:layout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'SG 50'!$A$132:$Z$132</c:f>
          <c:strCache>
            <c:ptCount val="1"/>
            <c:pt idx="0">
              <c:v>Temperatur og Vout som funktion af tiden på dagen</c:v>
            </c:pt>
          </c:strCache>
        </c:strRef>
      </c:tx>
      <c:layout>
        <c:manualLayout>
          <c:xMode val="edge"/>
          <c:yMode val="edge"/>
          <c:x val="0.23435114703840057"/>
          <c:y val="3.3840947546531303E-2"/>
        </c:manualLayout>
      </c:layout>
      <c:txPr>
        <a:bodyPr/>
        <a:lstStyle/>
        <a:p>
          <a:pPr>
            <a:defRPr sz="1600" b="1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'SG 50'!$K$135</c:f>
              <c:strCache>
                <c:ptCount val="1"/>
                <c:pt idx="0">
                  <c:v>Temp °C 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12"/>
          </c:marker>
          <c:dLbls>
            <c:txPr>
              <a:bodyPr/>
              <a:lstStyle/>
              <a:p>
                <a:pPr>
                  <a:defRPr sz="1200"/>
                </a:pPr>
                <a:endParaRPr lang="da-DK"/>
              </a:p>
            </c:txPr>
            <c:dLblPos val="t"/>
            <c:showVal val="1"/>
          </c:dLbls>
          <c:trendline>
            <c:trendlineType val="linear"/>
          </c:trendline>
          <c:cat>
            <c:strRef>
              <c:f>'SG 50'!$O$134:$X$134</c:f>
              <c:strCache>
                <c:ptCount val="10"/>
                <c:pt idx="0">
                  <c:v>12.00</c:v>
                </c:pt>
                <c:pt idx="1">
                  <c:v>20.00</c:v>
                </c:pt>
                <c:pt idx="2">
                  <c:v>10.00</c:v>
                </c:pt>
                <c:pt idx="3">
                  <c:v>12.00</c:v>
                </c:pt>
                <c:pt idx="4">
                  <c:v>13.00</c:v>
                </c:pt>
                <c:pt idx="5">
                  <c:v>16.00</c:v>
                </c:pt>
                <c:pt idx="6">
                  <c:v>8.00</c:v>
                </c:pt>
                <c:pt idx="7">
                  <c:v>12.00</c:v>
                </c:pt>
                <c:pt idx="8">
                  <c:v>15.00</c:v>
                </c:pt>
                <c:pt idx="9">
                  <c:v>16.00</c:v>
                </c:pt>
              </c:strCache>
            </c:strRef>
          </c:cat>
          <c:val>
            <c:numRef>
              <c:f>'SG 50'!$O$135:$X$135</c:f>
              <c:numCache>
                <c:formatCode>General</c:formatCode>
                <c:ptCount val="10"/>
                <c:pt idx="0">
                  <c:v>23</c:v>
                </c:pt>
                <c:pt idx="1">
                  <c:v>19</c:v>
                </c:pt>
                <c:pt idx="2">
                  <c:v>16</c:v>
                </c:pt>
                <c:pt idx="3">
                  <c:v>18</c:v>
                </c:pt>
                <c:pt idx="4">
                  <c:v>24</c:v>
                </c:pt>
                <c:pt idx="5">
                  <c:v>24</c:v>
                </c:pt>
                <c:pt idx="6">
                  <c:v>15</c:v>
                </c:pt>
                <c:pt idx="7">
                  <c:v>25</c:v>
                </c:pt>
                <c:pt idx="8">
                  <c:v>28</c:v>
                </c:pt>
                <c:pt idx="9">
                  <c:v>24</c:v>
                </c:pt>
              </c:numCache>
            </c:numRef>
          </c:val>
        </c:ser>
        <c:hiLowLines/>
        <c:marker val="1"/>
        <c:axId val="167720448"/>
        <c:axId val="167722368"/>
      </c:lineChart>
      <c:lineChart>
        <c:grouping val="standard"/>
        <c:ser>
          <c:idx val="1"/>
          <c:order val="1"/>
          <c:tx>
            <c:strRef>
              <c:f>'SG 50'!$K$136:$N$136</c:f>
              <c:strCache>
                <c:ptCount val="1"/>
                <c:pt idx="0">
                  <c:v>Vout volt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da-DK"/>
              </a:p>
            </c:txPr>
            <c:dLblPos val="t"/>
            <c:showVal val="1"/>
          </c:dLbls>
          <c:cat>
            <c:strRef>
              <c:f>'SG 50'!$O$134:$X$134</c:f>
              <c:strCache>
                <c:ptCount val="10"/>
                <c:pt idx="0">
                  <c:v>12.00</c:v>
                </c:pt>
                <c:pt idx="1">
                  <c:v>20.00</c:v>
                </c:pt>
                <c:pt idx="2">
                  <c:v>10.00</c:v>
                </c:pt>
                <c:pt idx="3">
                  <c:v>12.00</c:v>
                </c:pt>
                <c:pt idx="4">
                  <c:v>13.00</c:v>
                </c:pt>
                <c:pt idx="5">
                  <c:v>16.00</c:v>
                </c:pt>
                <c:pt idx="6">
                  <c:v>8.00</c:v>
                </c:pt>
                <c:pt idx="7">
                  <c:v>12.00</c:v>
                </c:pt>
                <c:pt idx="8">
                  <c:v>15.00</c:v>
                </c:pt>
                <c:pt idx="9">
                  <c:v>16.00</c:v>
                </c:pt>
              </c:strCache>
            </c:strRef>
          </c:cat>
          <c:val>
            <c:numRef>
              <c:f>'SG 50'!$O$136:$X$136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0.9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1.1000000000000001</c:v>
                </c:pt>
                <c:pt idx="6">
                  <c:v>0.5</c:v>
                </c:pt>
                <c:pt idx="7">
                  <c:v>1.1000000000000001</c:v>
                </c:pt>
                <c:pt idx="8">
                  <c:v>1.2</c:v>
                </c:pt>
                <c:pt idx="9">
                  <c:v>1.1000000000000001</c:v>
                </c:pt>
              </c:numCache>
            </c:numRef>
          </c:val>
        </c:ser>
        <c:marker val="1"/>
        <c:axId val="122240000"/>
        <c:axId val="122237696"/>
      </c:lineChart>
      <c:catAx>
        <c:axId val="167720448"/>
        <c:scaling>
          <c:orientation val="minMax"/>
        </c:scaling>
        <c:axPos val="b"/>
        <c:majorGridlines/>
        <c:title>
          <c:tx>
            <c:strRef>
              <c:f>'SG 50'!$K$134:$N$134</c:f>
              <c:strCache>
                <c:ptCount val="1"/>
                <c:pt idx="0">
                  <c:v>Tid Kl.</c:v>
                </c:pt>
              </c:strCache>
            </c:strRef>
          </c:tx>
          <c:layout/>
          <c:txPr>
            <a:bodyPr/>
            <a:lstStyle/>
            <a:p>
              <a:pPr>
                <a:defRPr sz="1400" b="1"/>
              </a:pPr>
              <a:endParaRPr lang="da-DK"/>
            </a:p>
          </c:txPr>
        </c:title>
        <c:numFmt formatCode="General" sourceLinked="1"/>
        <c:minorTickMark val="out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7722368"/>
        <c:crosses val="autoZero"/>
        <c:auto val="1"/>
        <c:lblAlgn val="ctr"/>
        <c:lblOffset val="100"/>
        <c:tickLblSkip val="1"/>
        <c:tickMarkSkip val="1"/>
      </c:catAx>
      <c:valAx>
        <c:axId val="167722368"/>
        <c:scaling>
          <c:orientation val="minMax"/>
          <c:min val="0"/>
        </c:scaling>
        <c:axPos val="l"/>
        <c:majorGridlines/>
        <c:title>
          <c:tx>
            <c:strRef>
              <c:f>'SG 50'!$A$135:$F$135</c:f>
              <c:strCache>
                <c:ptCount val="1"/>
                <c:pt idx="0">
                  <c:v>Temp °C og Vout volt</c:v>
                </c:pt>
              </c:strCache>
            </c:strRef>
          </c:tx>
          <c:layout>
            <c:manualLayout>
              <c:xMode val="edge"/>
              <c:yMode val="edge"/>
              <c:x val="1.9887263883507474E-2"/>
              <c:y val="0.32590200336633046"/>
            </c:manualLayout>
          </c:layout>
          <c:txPr>
            <a:bodyPr/>
            <a:lstStyle/>
            <a:p>
              <a:pPr>
                <a:defRPr sz="1400" b="1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General" sourceLinked="1"/>
        <c:minorTickMark val="out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7720448"/>
        <c:crosses val="autoZero"/>
        <c:crossBetween val="midCat"/>
      </c:valAx>
      <c:valAx>
        <c:axId val="122237696"/>
        <c:scaling>
          <c:orientation val="minMax"/>
        </c:scaling>
        <c:axPos val="r"/>
        <c:majorGridlines/>
        <c:numFmt formatCode="General" sourceLinked="1"/>
        <c:tickLblPos val="nextTo"/>
        <c:txPr>
          <a:bodyPr/>
          <a:lstStyle/>
          <a:p>
            <a:pPr>
              <a:defRPr sz="1200">
                <a:solidFill>
                  <a:srgbClr val="FF0000"/>
                </a:solidFill>
              </a:defRPr>
            </a:pPr>
            <a:endParaRPr lang="da-DK"/>
          </a:p>
        </c:txPr>
        <c:crossAx val="122240000"/>
        <c:crosses val="max"/>
        <c:crossBetween val="between"/>
      </c:valAx>
      <c:catAx>
        <c:axId val="122240000"/>
        <c:scaling>
          <c:orientation val="minMax"/>
        </c:scaling>
        <c:delete val="1"/>
        <c:axPos val="b"/>
        <c:tickLblPos val="none"/>
        <c:crossAx val="122237696"/>
        <c:auto val="1"/>
        <c:lblAlgn val="ctr"/>
        <c:lblOffset val="100"/>
      </c:cat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5156849381617461"/>
          <c:y val="0.4138615865880283"/>
          <c:w val="9.95951629174473E-2"/>
          <c:h val="9.6936816908038778E-2"/>
        </c:manualLayout>
      </c:layout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28</xdr:row>
      <xdr:rowOff>0</xdr:rowOff>
    </xdr:from>
    <xdr:to>
      <xdr:col>8</xdr:col>
      <xdr:colOff>123825</xdr:colOff>
      <xdr:row>29</xdr:row>
      <xdr:rowOff>66675</xdr:rowOff>
    </xdr:to>
    <xdr:sp macro="" textlink="">
      <xdr:nvSpPr>
        <xdr:cNvPr id="1027" name="AutoShape 3" descr="{\displaystyle V_{G}=\left({R_{2} \over {R_{1}+R_{2}}}-{R_{x} \over {R_{x}+R_{3}}}\right)V_{s}}"/>
        <xdr:cNvSpPr>
          <a:spLocks noChangeAspect="1" noChangeArrowheads="1"/>
        </xdr:cNvSpPr>
      </xdr:nvSpPr>
      <xdr:spPr bwMode="auto">
        <a:xfrm>
          <a:off x="1828800" y="4381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304800</xdr:colOff>
      <xdr:row>33</xdr:row>
      <xdr:rowOff>104775</xdr:rowOff>
    </xdr:to>
    <xdr:sp macro="" textlink="">
      <xdr:nvSpPr>
        <xdr:cNvPr id="1029" name="AutoShape 5" descr="{\displaystyle R_{x}={{R_{2}\cdot V_{s}-(R_{1}+R_{2})\cdot V_{G}} \over {R_{1}\cdot V_{s}+(R_{1}+R_{2})\cdot V_{G}}}R_{3}}"/>
        <xdr:cNvSpPr>
          <a:spLocks noChangeAspect="1" noChangeArrowheads="1"/>
        </xdr:cNvSpPr>
      </xdr:nvSpPr>
      <xdr:spPr bwMode="auto">
        <a:xfrm>
          <a:off x="3048000" y="514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19050</xdr:colOff>
      <xdr:row>8</xdr:row>
      <xdr:rowOff>28575</xdr:rowOff>
    </xdr:from>
    <xdr:to>
      <xdr:col>17</xdr:col>
      <xdr:colOff>638175</xdr:colOff>
      <xdr:row>9</xdr:row>
      <xdr:rowOff>209550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7350" y="2019300"/>
          <a:ext cx="2314575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28575</xdr:colOff>
      <xdr:row>18</xdr:row>
      <xdr:rowOff>0</xdr:rowOff>
    </xdr:from>
    <xdr:to>
      <xdr:col>17</xdr:col>
      <xdr:colOff>676275</xdr:colOff>
      <xdr:row>19</xdr:row>
      <xdr:rowOff>209550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76875" y="4371975"/>
          <a:ext cx="2343150" cy="44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0</xdr:colOff>
      <xdr:row>13</xdr:row>
      <xdr:rowOff>28575</xdr:rowOff>
    </xdr:from>
    <xdr:to>
      <xdr:col>12</xdr:col>
      <xdr:colOff>171450</xdr:colOff>
      <xdr:row>13</xdr:row>
      <xdr:rowOff>38100</xdr:rowOff>
    </xdr:to>
    <xdr:cxnSp macro="">
      <xdr:nvCxnSpPr>
        <xdr:cNvPr id="15" name="Lige pilforbindelse 14"/>
        <xdr:cNvCxnSpPr/>
      </xdr:nvCxnSpPr>
      <xdr:spPr>
        <a:xfrm>
          <a:off x="2133600" y="3209925"/>
          <a:ext cx="2219325" cy="95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209550</xdr:colOff>
      <xdr:row>32</xdr:row>
      <xdr:rowOff>0</xdr:rowOff>
    </xdr:from>
    <xdr:to>
      <xdr:col>24</xdr:col>
      <xdr:colOff>266700</xdr:colOff>
      <xdr:row>69</xdr:row>
      <xdr:rowOff>695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9550" y="7705725"/>
          <a:ext cx="14678025" cy="74016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6</xdr:row>
      <xdr:rowOff>95250</xdr:rowOff>
    </xdr:from>
    <xdr:to>
      <xdr:col>17</xdr:col>
      <xdr:colOff>9525</xdr:colOff>
      <xdr:row>8</xdr:row>
      <xdr:rowOff>38100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609725"/>
          <a:ext cx="2314575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18</xdr:col>
      <xdr:colOff>2</xdr:colOff>
      <xdr:row>10</xdr:row>
      <xdr:rowOff>142875</xdr:rowOff>
    </xdr:from>
    <xdr:to>
      <xdr:col>18</xdr:col>
      <xdr:colOff>6804</xdr:colOff>
      <xdr:row>15</xdr:row>
      <xdr:rowOff>6803</xdr:rowOff>
    </xdr:to>
    <xdr:cxnSp macro="">
      <xdr:nvCxnSpPr>
        <xdr:cNvPr id="3" name="Lige pilforbindelse 2"/>
        <xdr:cNvCxnSpPr/>
      </xdr:nvCxnSpPr>
      <xdr:spPr>
        <a:xfrm flipV="1">
          <a:off x="8324852" y="2609850"/>
          <a:ext cx="6802" cy="797378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6</xdr:row>
      <xdr:rowOff>95250</xdr:rowOff>
    </xdr:from>
    <xdr:to>
      <xdr:col>17</xdr:col>
      <xdr:colOff>9525</xdr:colOff>
      <xdr:row>8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1609725"/>
          <a:ext cx="2314575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18</xdr:col>
      <xdr:colOff>2</xdr:colOff>
      <xdr:row>10</xdr:row>
      <xdr:rowOff>142875</xdr:rowOff>
    </xdr:from>
    <xdr:to>
      <xdr:col>18</xdr:col>
      <xdr:colOff>6804</xdr:colOff>
      <xdr:row>15</xdr:row>
      <xdr:rowOff>6803</xdr:rowOff>
    </xdr:to>
    <xdr:cxnSp macro="">
      <xdr:nvCxnSpPr>
        <xdr:cNvPr id="8" name="Lige pilforbindelse 7"/>
        <xdr:cNvCxnSpPr/>
      </xdr:nvCxnSpPr>
      <xdr:spPr>
        <a:xfrm flipV="1">
          <a:off x="8353427" y="2609850"/>
          <a:ext cx="6802" cy="797378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23</xdr:row>
      <xdr:rowOff>238124</xdr:rowOff>
    </xdr:from>
    <xdr:to>
      <xdr:col>23</xdr:col>
      <xdr:colOff>1057348</xdr:colOff>
      <xdr:row>51</xdr:row>
      <xdr:rowOff>76200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5457824"/>
          <a:ext cx="12639748" cy="650557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6</xdr:row>
      <xdr:rowOff>95250</xdr:rowOff>
    </xdr:from>
    <xdr:to>
      <xdr:col>17</xdr:col>
      <xdr:colOff>9525</xdr:colOff>
      <xdr:row>8</xdr:row>
      <xdr:rowOff>38100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1609725"/>
          <a:ext cx="2314575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18</xdr:col>
      <xdr:colOff>2</xdr:colOff>
      <xdr:row>10</xdr:row>
      <xdr:rowOff>142875</xdr:rowOff>
    </xdr:from>
    <xdr:to>
      <xdr:col>18</xdr:col>
      <xdr:colOff>6804</xdr:colOff>
      <xdr:row>15</xdr:row>
      <xdr:rowOff>6803</xdr:rowOff>
    </xdr:to>
    <xdr:cxnSp macro="">
      <xdr:nvCxnSpPr>
        <xdr:cNvPr id="8" name="Lige pilforbindelse 7"/>
        <xdr:cNvCxnSpPr/>
      </xdr:nvCxnSpPr>
      <xdr:spPr>
        <a:xfrm flipV="1">
          <a:off x="8456841" y="2612571"/>
          <a:ext cx="6802" cy="789214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60</xdr:row>
      <xdr:rowOff>171450</xdr:rowOff>
    </xdr:from>
    <xdr:to>
      <xdr:col>25</xdr:col>
      <xdr:colOff>238125</xdr:colOff>
      <xdr:row>87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97</xdr:row>
      <xdr:rowOff>0</xdr:rowOff>
    </xdr:from>
    <xdr:to>
      <xdr:col>25</xdr:col>
      <xdr:colOff>228600</xdr:colOff>
      <xdr:row>125</xdr:row>
      <xdr:rowOff>28575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104776</xdr:colOff>
      <xdr:row>24</xdr:row>
      <xdr:rowOff>1</xdr:rowOff>
    </xdr:from>
    <xdr:to>
      <xdr:col>23</xdr:col>
      <xdr:colOff>1034717</xdr:colOff>
      <xdr:row>50</xdr:row>
      <xdr:rowOff>209551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6" y="5457826"/>
          <a:ext cx="12693316" cy="64008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9525</xdr:colOff>
      <xdr:row>137</xdr:row>
      <xdr:rowOff>171450</xdr:rowOff>
    </xdr:from>
    <xdr:to>
      <xdr:col>25</xdr:col>
      <xdr:colOff>238125</xdr:colOff>
      <xdr:row>166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39</xdr:row>
      <xdr:rowOff>190500</xdr:rowOff>
    </xdr:from>
    <xdr:to>
      <xdr:col>14</xdr:col>
      <xdr:colOff>609600</xdr:colOff>
      <xdr:row>80</xdr:row>
      <xdr:rowOff>3637</xdr:rowOff>
    </xdr:to>
    <xdr:pic>
      <xdr:nvPicPr>
        <xdr:cNvPr id="1025" name="Picture 1" descr="Billedresultat for diagram ina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8058150"/>
          <a:ext cx="12268200" cy="80141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80</xdr:row>
      <xdr:rowOff>190500</xdr:rowOff>
    </xdr:from>
    <xdr:to>
      <xdr:col>12</xdr:col>
      <xdr:colOff>552450</xdr:colOff>
      <xdr:row>112</xdr:row>
      <xdr:rowOff>180086</xdr:rowOff>
    </xdr:to>
    <xdr:pic>
      <xdr:nvPicPr>
        <xdr:cNvPr id="1026" name="Picture 2" descr="Billedresultat for diagram ina1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6259175"/>
          <a:ext cx="10591800" cy="63903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113</xdr:row>
      <xdr:rowOff>180976</xdr:rowOff>
    </xdr:from>
    <xdr:to>
      <xdr:col>12</xdr:col>
      <xdr:colOff>714375</xdr:colOff>
      <xdr:row>151</xdr:row>
      <xdr:rowOff>171204</xdr:rowOff>
    </xdr:to>
    <xdr:pic>
      <xdr:nvPicPr>
        <xdr:cNvPr id="2" name="Picture 1" descr="Relateret billed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22850476"/>
          <a:ext cx="10772775" cy="759117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28577</xdr:colOff>
      <xdr:row>8</xdr:row>
      <xdr:rowOff>47625</xdr:rowOff>
    </xdr:from>
    <xdr:to>
      <xdr:col>10</xdr:col>
      <xdr:colOff>647700</xdr:colOff>
      <xdr:row>37</xdr:row>
      <xdr:rowOff>37541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6302" y="1704975"/>
          <a:ext cx="8248648" cy="579064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186055</xdr:colOff>
      <xdr:row>34</xdr:row>
      <xdr:rowOff>167005</xdr:rowOff>
    </xdr:to>
    <xdr:pic>
      <xdr:nvPicPr>
        <xdr:cNvPr id="2" name="Billede 1" descr="https://ae01.alicdn.com/kf/HTB1xC8eayjrK1RjSsplq6xHmVXam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81025"/>
          <a:ext cx="6120130" cy="612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2</xdr:row>
      <xdr:rowOff>200025</xdr:rowOff>
    </xdr:from>
    <xdr:to>
      <xdr:col>10</xdr:col>
      <xdr:colOff>247650</xdr:colOff>
      <xdr:row>6</xdr:row>
      <xdr:rowOff>19050</xdr:rowOff>
    </xdr:to>
    <xdr:cxnSp macro="">
      <xdr:nvCxnSpPr>
        <xdr:cNvPr id="3" name="Lige pilforbindelse 2"/>
        <xdr:cNvCxnSpPr/>
      </xdr:nvCxnSpPr>
      <xdr:spPr>
        <a:xfrm>
          <a:off x="6210300" y="676275"/>
          <a:ext cx="0" cy="6953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9</xdr:row>
      <xdr:rowOff>209550</xdr:rowOff>
    </xdr:from>
    <xdr:to>
      <xdr:col>10</xdr:col>
      <xdr:colOff>247650</xdr:colOff>
      <xdr:row>12</xdr:row>
      <xdr:rowOff>200025</xdr:rowOff>
    </xdr:to>
    <xdr:cxnSp macro="">
      <xdr:nvCxnSpPr>
        <xdr:cNvPr id="5" name="Lige pilforbindelse 4"/>
        <xdr:cNvCxnSpPr/>
      </xdr:nvCxnSpPr>
      <xdr:spPr>
        <a:xfrm flipV="1">
          <a:off x="6210300" y="2219325"/>
          <a:ext cx="0" cy="6477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762000</xdr:colOff>
      <xdr:row>10</xdr:row>
      <xdr:rowOff>0</xdr:rowOff>
    </xdr:from>
    <xdr:to>
      <xdr:col>12</xdr:col>
      <xdr:colOff>762000</xdr:colOff>
      <xdr:row>13</xdr:row>
      <xdr:rowOff>38100</xdr:rowOff>
    </xdr:to>
    <xdr:cxnSp macro="">
      <xdr:nvCxnSpPr>
        <xdr:cNvPr id="6" name="Lige pilforbindelse 5"/>
        <xdr:cNvCxnSpPr/>
      </xdr:nvCxnSpPr>
      <xdr:spPr>
        <a:xfrm>
          <a:off x="9286875" y="2228850"/>
          <a:ext cx="0" cy="69532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723900</xdr:colOff>
      <xdr:row>2</xdr:row>
      <xdr:rowOff>209550</xdr:rowOff>
    </xdr:from>
    <xdr:to>
      <xdr:col>12</xdr:col>
      <xdr:colOff>723900</xdr:colOff>
      <xdr:row>5</xdr:row>
      <xdr:rowOff>200025</xdr:rowOff>
    </xdr:to>
    <xdr:cxnSp macro="">
      <xdr:nvCxnSpPr>
        <xdr:cNvPr id="7" name="Lige pilforbindelse 6"/>
        <xdr:cNvCxnSpPr/>
      </xdr:nvCxnSpPr>
      <xdr:spPr>
        <a:xfrm flipV="1">
          <a:off x="9248775" y="685800"/>
          <a:ext cx="0" cy="6477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9525</xdr:rowOff>
    </xdr:from>
    <xdr:to>
      <xdr:col>11</xdr:col>
      <xdr:colOff>9525</xdr:colOff>
      <xdr:row>35</xdr:row>
      <xdr:rowOff>209550</xdr:rowOff>
    </xdr:to>
    <xdr:cxnSp macro="">
      <xdr:nvCxnSpPr>
        <xdr:cNvPr id="3" name="Lige pilforbindelse 2"/>
        <xdr:cNvCxnSpPr/>
      </xdr:nvCxnSpPr>
      <xdr:spPr>
        <a:xfrm flipV="1">
          <a:off x="6943725" y="6486525"/>
          <a:ext cx="9525" cy="1295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9525</xdr:rowOff>
    </xdr:from>
    <xdr:to>
      <xdr:col>12</xdr:col>
      <xdr:colOff>9525</xdr:colOff>
      <xdr:row>35</xdr:row>
      <xdr:rowOff>209550</xdr:rowOff>
    </xdr:to>
    <xdr:cxnSp macro="">
      <xdr:nvCxnSpPr>
        <xdr:cNvPr id="4" name="Lige pilforbindelse 3"/>
        <xdr:cNvCxnSpPr/>
      </xdr:nvCxnSpPr>
      <xdr:spPr>
        <a:xfrm flipV="1">
          <a:off x="8524875" y="6486525"/>
          <a:ext cx="9525" cy="1295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45</xdr:row>
      <xdr:rowOff>9525</xdr:rowOff>
    </xdr:from>
    <xdr:to>
      <xdr:col>11</xdr:col>
      <xdr:colOff>9525</xdr:colOff>
      <xdr:row>50</xdr:row>
      <xdr:rowOff>209550</xdr:rowOff>
    </xdr:to>
    <xdr:cxnSp macro="">
      <xdr:nvCxnSpPr>
        <xdr:cNvPr id="5" name="Lige pilforbindelse 4"/>
        <xdr:cNvCxnSpPr/>
      </xdr:nvCxnSpPr>
      <xdr:spPr>
        <a:xfrm flipV="1">
          <a:off x="6943725" y="6486525"/>
          <a:ext cx="9525" cy="1295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45</xdr:row>
      <xdr:rowOff>9525</xdr:rowOff>
    </xdr:from>
    <xdr:to>
      <xdr:col>12</xdr:col>
      <xdr:colOff>9525</xdr:colOff>
      <xdr:row>50</xdr:row>
      <xdr:rowOff>209550</xdr:rowOff>
    </xdr:to>
    <xdr:cxnSp macro="">
      <xdr:nvCxnSpPr>
        <xdr:cNvPr id="6" name="Lige pilforbindelse 5"/>
        <xdr:cNvCxnSpPr/>
      </xdr:nvCxnSpPr>
      <xdr:spPr>
        <a:xfrm flipV="1">
          <a:off x="8524875" y="6486525"/>
          <a:ext cx="9525" cy="1295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98</xdr:row>
      <xdr:rowOff>28575</xdr:rowOff>
    </xdr:from>
    <xdr:to>
      <xdr:col>4</xdr:col>
      <xdr:colOff>228600</xdr:colOff>
      <xdr:row>101</xdr:row>
      <xdr:rowOff>200025</xdr:rowOff>
    </xdr:to>
    <xdr:cxnSp macro="">
      <xdr:nvCxnSpPr>
        <xdr:cNvPr id="10" name="Lige pilforbindelse 9"/>
        <xdr:cNvCxnSpPr/>
      </xdr:nvCxnSpPr>
      <xdr:spPr>
        <a:xfrm flipV="1">
          <a:off x="2419350" y="20507325"/>
          <a:ext cx="0" cy="82867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Wheatstone_brid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learn.sparkfun.com/tutorials/getting-started-with-load-cells/al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i.com/lit/ds/symlink/ina125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tasheet.hk/view_download.php?id=1270347&amp;file=0105\s8550_1098607.pdf" TargetMode="External"/><Relationship Id="rId2" Type="http://schemas.openxmlformats.org/officeDocument/2006/relationships/hyperlink" Target="../../../PDF%20Files/IC%20kredse/HX711/ads1231.pdf" TargetMode="External"/><Relationship Id="rId1" Type="http://schemas.openxmlformats.org/officeDocument/2006/relationships/hyperlink" Target="https://www.elecrow.com/wiki/images/2/2b/HX711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walter-lystfisker.dk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walter-lystfisker.dk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en.wikipedia.org/wiki/Source_transformation" TargetMode="External"/><Relationship Id="rId1" Type="http://schemas.openxmlformats.org/officeDocument/2006/relationships/hyperlink" Target="https://en.wikipedia.org/wiki/Th%C3%A9venin%27s_theorem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0"/>
  <sheetViews>
    <sheetView workbookViewId="0">
      <selection activeCell="F24" sqref="F24"/>
    </sheetView>
  </sheetViews>
  <sheetFormatPr defaultRowHeight="15.75"/>
  <cols>
    <col min="1" max="1" width="10.7109375" style="34" customWidth="1"/>
    <col min="2" max="5" width="2.7109375" style="34" customWidth="1"/>
    <col min="6" max="6" width="12.7109375" style="34" customWidth="1"/>
    <col min="7" max="8" width="2.7109375" style="34" customWidth="1"/>
    <col min="9" max="10" width="6.28515625" style="34" customWidth="1"/>
    <col min="11" max="11" width="5.7109375" style="34" customWidth="1"/>
    <col min="12" max="12" width="12.7109375" style="34" customWidth="1"/>
    <col min="13" max="14" width="2.7109375" style="34" customWidth="1"/>
    <col min="15" max="15" width="16.7109375" style="34" customWidth="1"/>
    <col min="16" max="21" width="12.7109375" style="34" customWidth="1"/>
    <col min="22" max="24" width="16.7109375" style="34" customWidth="1"/>
    <col min="25" max="25" width="12.7109375" style="34" customWidth="1"/>
    <col min="26" max="26" width="14.5703125" style="34" customWidth="1"/>
    <col min="27" max="27" width="14.7109375" style="34" customWidth="1"/>
    <col min="28" max="16384" width="9.140625" style="34"/>
  </cols>
  <sheetData>
    <row r="1" spans="1:27" ht="25.5" customHeight="1">
      <c r="A1" s="521" t="s">
        <v>19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3" t="s">
        <v>111</v>
      </c>
      <c r="Y1" s="524"/>
      <c r="Z1" s="33"/>
      <c r="AA1" s="33"/>
    </row>
    <row r="2" spans="1:27" ht="18.95" customHeight="1">
      <c r="A2" s="210"/>
      <c r="B2" s="126"/>
      <c r="C2" s="126"/>
      <c r="D2" s="126"/>
      <c r="E2" s="126"/>
      <c r="F2" s="248"/>
      <c r="G2" s="126"/>
      <c r="H2" s="126"/>
      <c r="I2" s="126"/>
      <c r="J2" s="126"/>
      <c r="K2" s="126"/>
      <c r="L2" s="126"/>
      <c r="M2" s="126"/>
      <c r="N2" s="126"/>
      <c r="O2" s="126"/>
      <c r="P2" s="506" t="s">
        <v>4</v>
      </c>
      <c r="Q2" s="506"/>
      <c r="R2" s="506"/>
      <c r="S2" s="506"/>
      <c r="T2" s="506"/>
      <c r="U2" s="237"/>
      <c r="V2" s="237"/>
      <c r="W2" s="492"/>
      <c r="X2" s="492"/>
      <c r="Y2" s="211"/>
      <c r="Z2" s="33"/>
      <c r="AA2" s="33"/>
    </row>
    <row r="3" spans="1:27" ht="18.95" customHeight="1" thickBot="1">
      <c r="A3" s="210"/>
      <c r="B3" s="126"/>
      <c r="C3" s="126"/>
      <c r="D3" s="126"/>
      <c r="E3" s="126"/>
      <c r="F3" s="225"/>
      <c r="G3" s="225"/>
      <c r="H3" s="225"/>
      <c r="I3" s="503" t="s">
        <v>71</v>
      </c>
      <c r="J3" s="503"/>
      <c r="K3" s="126"/>
      <c r="L3" s="126"/>
      <c r="M3" s="126"/>
      <c r="N3" s="126"/>
      <c r="O3" s="126"/>
      <c r="P3" s="249" t="s">
        <v>43</v>
      </c>
      <c r="Q3" s="249" t="s">
        <v>1</v>
      </c>
      <c r="R3" s="249" t="s">
        <v>2</v>
      </c>
      <c r="S3" s="249" t="s">
        <v>3</v>
      </c>
      <c r="T3" s="249" t="s">
        <v>29</v>
      </c>
      <c r="U3" s="200"/>
      <c r="V3" s="526"/>
      <c r="W3" s="526"/>
      <c r="X3" s="526"/>
      <c r="Y3" s="211"/>
      <c r="Z3" s="33"/>
      <c r="AA3" s="33"/>
    </row>
    <row r="4" spans="1:27" ht="18.95" customHeight="1" thickBot="1">
      <c r="A4" s="210"/>
      <c r="B4" s="126"/>
      <c r="C4" s="126"/>
      <c r="D4" s="208"/>
      <c r="E4" s="209"/>
      <c r="F4" s="209"/>
      <c r="G4" s="209"/>
      <c r="H4" s="209"/>
      <c r="I4" s="209"/>
      <c r="J4" s="254"/>
      <c r="K4" s="255" t="s">
        <v>25</v>
      </c>
      <c r="L4" s="126"/>
      <c r="M4" s="126"/>
      <c r="N4" s="126"/>
      <c r="O4" s="126"/>
      <c r="P4" s="249" t="s">
        <v>6</v>
      </c>
      <c r="Q4" s="506" t="s">
        <v>13</v>
      </c>
      <c r="R4" s="506"/>
      <c r="S4" s="506"/>
      <c r="T4" s="506"/>
      <c r="U4" s="237"/>
      <c r="V4" s="237"/>
      <c r="W4" s="237"/>
      <c r="X4" s="237"/>
      <c r="Y4" s="211"/>
      <c r="Z4" s="33"/>
      <c r="AA4" s="33"/>
    </row>
    <row r="5" spans="1:27" ht="18.95" customHeight="1">
      <c r="A5" s="210"/>
      <c r="B5" s="126"/>
      <c r="C5" s="126"/>
      <c r="D5" s="210"/>
      <c r="E5" s="126"/>
      <c r="F5" s="126"/>
      <c r="G5" s="126"/>
      <c r="H5" s="208"/>
      <c r="I5" s="209"/>
      <c r="J5" s="209"/>
      <c r="K5" s="209"/>
      <c r="L5" s="209"/>
      <c r="M5" s="254"/>
      <c r="N5" s="210"/>
      <c r="O5" s="126"/>
      <c r="P5" s="108">
        <v>5</v>
      </c>
      <c r="Q5" s="489">
        <v>286.85000000000002</v>
      </c>
      <c r="R5" s="108">
        <v>288</v>
      </c>
      <c r="S5" s="108">
        <v>288</v>
      </c>
      <c r="T5" s="253">
        <v>286.85059962694669</v>
      </c>
      <c r="U5" s="256"/>
      <c r="V5" s="277"/>
      <c r="W5" s="257"/>
      <c r="X5" s="256"/>
      <c r="Y5" s="211"/>
      <c r="Z5" s="33"/>
      <c r="AA5" s="33"/>
    </row>
    <row r="6" spans="1:27" ht="18.95" customHeight="1" thickBot="1">
      <c r="A6" s="210"/>
      <c r="B6" s="126"/>
      <c r="C6" s="126"/>
      <c r="D6" s="210"/>
      <c r="E6" s="126"/>
      <c r="F6" s="126"/>
      <c r="G6" s="126"/>
      <c r="H6" s="210"/>
      <c r="I6" s="126"/>
      <c r="J6" s="126"/>
      <c r="K6" s="126"/>
      <c r="L6" s="126"/>
      <c r="M6" s="126"/>
      <c r="N6" s="210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211"/>
      <c r="Z6" s="33"/>
      <c r="AA6" s="33"/>
    </row>
    <row r="7" spans="1:27" ht="18.95" customHeight="1">
      <c r="A7" s="496"/>
      <c r="B7" s="491"/>
      <c r="C7" s="126"/>
      <c r="D7" s="210"/>
      <c r="E7" s="126"/>
      <c r="F7" s="236">
        <f>+Q5</f>
        <v>286.85000000000002</v>
      </c>
      <c r="G7" s="497" t="s">
        <v>1</v>
      </c>
      <c r="H7" s="498"/>
      <c r="I7" s="126"/>
      <c r="J7" s="126"/>
      <c r="K7" s="126"/>
      <c r="L7" s="236">
        <f>+S5</f>
        <v>288</v>
      </c>
      <c r="M7" s="497" t="s">
        <v>3</v>
      </c>
      <c r="N7" s="498"/>
      <c r="O7" s="130" t="s">
        <v>9</v>
      </c>
      <c r="P7" s="248" t="s">
        <v>10</v>
      </c>
      <c r="Q7" s="248" t="s">
        <v>6</v>
      </c>
      <c r="R7" s="126" t="s">
        <v>11</v>
      </c>
      <c r="S7" s="126"/>
      <c r="T7" s="126"/>
      <c r="U7" s="126"/>
      <c r="V7" s="126"/>
      <c r="W7" s="126"/>
      <c r="X7" s="126"/>
      <c r="Y7" s="211"/>
      <c r="Z7" s="33"/>
      <c r="AA7" s="33"/>
    </row>
    <row r="8" spans="1:27" ht="18.95" customHeight="1">
      <c r="A8" s="493"/>
      <c r="B8" s="493"/>
      <c r="C8" s="126"/>
      <c r="D8" s="210"/>
      <c r="E8" s="248"/>
      <c r="F8" s="126"/>
      <c r="G8" s="499"/>
      <c r="H8" s="500"/>
      <c r="I8" s="126"/>
      <c r="J8" s="126"/>
      <c r="K8" s="126"/>
      <c r="L8" s="126"/>
      <c r="M8" s="499"/>
      <c r="N8" s="500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211"/>
      <c r="Z8" s="33"/>
      <c r="AA8" s="33"/>
    </row>
    <row r="9" spans="1:27" ht="18.95" customHeight="1">
      <c r="A9" s="210"/>
      <c r="B9" s="248"/>
      <c r="C9" s="126"/>
      <c r="D9" s="210"/>
      <c r="E9" s="248"/>
      <c r="F9" s="126"/>
      <c r="G9" s="499"/>
      <c r="H9" s="500"/>
      <c r="I9" s="126"/>
      <c r="J9" s="126"/>
      <c r="K9" s="126"/>
      <c r="L9" s="126"/>
      <c r="M9" s="499"/>
      <c r="N9" s="500"/>
      <c r="O9" s="126"/>
      <c r="P9" s="126"/>
      <c r="Q9" s="126"/>
      <c r="R9" s="126"/>
      <c r="S9" s="126"/>
      <c r="T9" s="514">
        <f>((R5/(Q5+R5))-(T5/(T5+S5)))*P5</f>
        <v>9.9999964082503334E-3</v>
      </c>
      <c r="U9" s="504" t="s">
        <v>6</v>
      </c>
      <c r="V9" s="509">
        <f>ROUND(T9*1000,4)</f>
        <v>10</v>
      </c>
      <c r="W9" s="510" t="s">
        <v>24</v>
      </c>
      <c r="X9" s="126"/>
      <c r="Y9" s="211"/>
      <c r="Z9" s="33"/>
      <c r="AA9" s="33"/>
    </row>
    <row r="10" spans="1:27" ht="18.95" customHeight="1" thickBot="1">
      <c r="A10" s="210"/>
      <c r="B10" s="126"/>
      <c r="C10" s="126"/>
      <c r="D10" s="210"/>
      <c r="E10" s="126"/>
      <c r="F10" s="126"/>
      <c r="G10" s="501"/>
      <c r="H10" s="502"/>
      <c r="I10" s="126"/>
      <c r="J10" s="126"/>
      <c r="K10" s="126"/>
      <c r="L10" s="126"/>
      <c r="M10" s="501"/>
      <c r="N10" s="502"/>
      <c r="O10" s="126"/>
      <c r="P10" s="126"/>
      <c r="Q10" s="126"/>
      <c r="R10" s="126"/>
      <c r="S10" s="126"/>
      <c r="T10" s="514"/>
      <c r="U10" s="504"/>
      <c r="V10" s="509"/>
      <c r="W10" s="510"/>
      <c r="X10" s="126"/>
      <c r="Y10" s="211"/>
      <c r="Z10" s="33"/>
      <c r="AA10" s="33"/>
    </row>
    <row r="11" spans="1:27" ht="18.95" customHeight="1">
      <c r="A11" s="210"/>
      <c r="B11" s="126"/>
      <c r="C11" s="126"/>
      <c r="D11" s="210"/>
      <c r="E11" s="126"/>
      <c r="F11" s="248" t="s">
        <v>6</v>
      </c>
      <c r="G11" s="126"/>
      <c r="H11" s="208"/>
      <c r="I11" s="126"/>
      <c r="J11" s="126"/>
      <c r="K11" s="126"/>
      <c r="L11" s="126"/>
      <c r="M11" s="126"/>
      <c r="N11" s="208"/>
      <c r="O11" s="248" t="s">
        <v>6</v>
      </c>
      <c r="P11" s="126"/>
      <c r="Q11" s="126"/>
      <c r="R11" s="126"/>
      <c r="S11" s="126"/>
      <c r="T11" s="157"/>
      <c r="U11" s="157"/>
      <c r="V11" s="510" t="s">
        <v>108</v>
      </c>
      <c r="W11" s="510"/>
      <c r="X11" s="510"/>
      <c r="Y11" s="247" t="s">
        <v>86</v>
      </c>
      <c r="Z11" s="33"/>
      <c r="AA11" s="33"/>
    </row>
    <row r="12" spans="1:27" ht="18.95" customHeight="1" thickBot="1">
      <c r="A12" s="210"/>
      <c r="B12" s="126"/>
      <c r="C12" s="126"/>
      <c r="D12" s="210"/>
      <c r="E12" s="126"/>
      <c r="F12" s="258">
        <f>+ROUND(A14/(Q5+R5)*R5,4)</f>
        <v>2.5049999999999999</v>
      </c>
      <c r="G12" s="505" t="s">
        <v>28</v>
      </c>
      <c r="H12" s="210"/>
      <c r="I12" s="126"/>
      <c r="J12" s="504" t="s">
        <v>12</v>
      </c>
      <c r="K12" s="504"/>
      <c r="L12" s="126"/>
      <c r="M12" s="126"/>
      <c r="N12" s="495" t="s">
        <v>27</v>
      </c>
      <c r="O12" s="259">
        <f>+ROUND(P5/(S5+T5)*T5,4)</f>
        <v>2.4950000000000001</v>
      </c>
      <c r="P12" s="126"/>
      <c r="Q12" s="126"/>
      <c r="R12" s="126"/>
      <c r="S12" s="126"/>
      <c r="T12" s="126"/>
      <c r="U12" s="248" t="s">
        <v>85</v>
      </c>
      <c r="V12" s="126" t="s">
        <v>172</v>
      </c>
      <c r="W12" s="126"/>
      <c r="X12" s="126"/>
      <c r="Y12" s="211"/>
      <c r="Z12" s="33"/>
      <c r="AA12" s="33"/>
    </row>
    <row r="13" spans="1:27" ht="18.95" customHeight="1" thickBot="1">
      <c r="A13" s="248" t="s">
        <v>43</v>
      </c>
      <c r="B13" s="260"/>
      <c r="C13" s="261"/>
      <c r="D13" s="261"/>
      <c r="E13" s="260"/>
      <c r="F13" s="126" t="s">
        <v>281</v>
      </c>
      <c r="G13" s="505"/>
      <c r="H13" s="210"/>
      <c r="I13" s="126"/>
      <c r="J13" s="491" t="str">
        <f>CONCATENATE(V9,W9)</f>
        <v>10 mV</v>
      </c>
      <c r="K13" s="491"/>
      <c r="L13" s="126"/>
      <c r="M13" s="126"/>
      <c r="N13" s="495"/>
      <c r="O13" s="126" t="s">
        <v>282</v>
      </c>
      <c r="P13" s="506" t="s">
        <v>4</v>
      </c>
      <c r="Q13" s="506"/>
      <c r="R13" s="506"/>
      <c r="S13" s="506"/>
      <c r="T13" s="506"/>
      <c r="U13" s="248" t="s">
        <v>87</v>
      </c>
      <c r="V13" s="126" t="s">
        <v>262</v>
      </c>
      <c r="W13" s="126"/>
      <c r="X13" s="126"/>
      <c r="Y13" s="211"/>
      <c r="Z13" s="33"/>
      <c r="AA13" s="33"/>
    </row>
    <row r="14" spans="1:27" ht="18.95" customHeight="1" thickBot="1">
      <c r="A14" s="248">
        <f>+P5</f>
        <v>5</v>
      </c>
      <c r="B14" s="126"/>
      <c r="C14" s="126"/>
      <c r="D14" s="210"/>
      <c r="E14" s="126"/>
      <c r="F14" s="126"/>
      <c r="G14" s="126"/>
      <c r="H14" s="262"/>
      <c r="I14" s="126"/>
      <c r="J14" s="126"/>
      <c r="K14" s="126"/>
      <c r="L14" s="126"/>
      <c r="M14" s="126"/>
      <c r="N14" s="262"/>
      <c r="O14" s="126"/>
      <c r="P14" s="249" t="s">
        <v>5</v>
      </c>
      <c r="Q14" s="249" t="s">
        <v>12</v>
      </c>
      <c r="R14" s="249" t="s">
        <v>1</v>
      </c>
      <c r="S14" s="249" t="s">
        <v>2</v>
      </c>
      <c r="T14" s="249" t="s">
        <v>3</v>
      </c>
      <c r="U14" s="248"/>
      <c r="V14" s="126"/>
      <c r="W14" s="126"/>
      <c r="X14" s="126"/>
      <c r="Y14" s="211"/>
      <c r="Z14" s="33"/>
      <c r="AA14" s="33"/>
    </row>
    <row r="15" spans="1:27" ht="18.95" customHeight="1">
      <c r="A15" s="210"/>
      <c r="B15" s="126"/>
      <c r="C15" s="126"/>
      <c r="D15" s="210"/>
      <c r="E15" s="126"/>
      <c r="F15" s="236">
        <f>+R5</f>
        <v>288</v>
      </c>
      <c r="G15" s="497" t="s">
        <v>2</v>
      </c>
      <c r="H15" s="498"/>
      <c r="I15" s="126"/>
      <c r="J15" s="126"/>
      <c r="K15" s="126"/>
      <c r="L15" s="477">
        <f>+T5</f>
        <v>286.85059962694669</v>
      </c>
      <c r="M15" s="527" t="s">
        <v>29</v>
      </c>
      <c r="N15" s="528"/>
      <c r="O15" s="126"/>
      <c r="P15" s="511" t="s">
        <v>6</v>
      </c>
      <c r="Q15" s="512"/>
      <c r="R15" s="511" t="s">
        <v>13</v>
      </c>
      <c r="S15" s="513"/>
      <c r="T15" s="512"/>
      <c r="U15" s="248"/>
      <c r="V15" s="126"/>
      <c r="W15" s="126"/>
      <c r="X15" s="126"/>
      <c r="Y15" s="211"/>
      <c r="Z15" s="33"/>
      <c r="AA15" s="33"/>
    </row>
    <row r="16" spans="1:27" ht="18.95" customHeight="1">
      <c r="A16" s="210"/>
      <c r="B16" s="126"/>
      <c r="C16" s="126"/>
      <c r="D16" s="210"/>
      <c r="E16" s="126"/>
      <c r="F16" s="126"/>
      <c r="G16" s="499"/>
      <c r="H16" s="500"/>
      <c r="I16" s="126"/>
      <c r="J16" s="126"/>
      <c r="K16" s="126"/>
      <c r="L16" s="126"/>
      <c r="M16" s="529"/>
      <c r="N16" s="530"/>
      <c r="O16" s="126"/>
      <c r="P16" s="249">
        <f>+P5</f>
        <v>5</v>
      </c>
      <c r="Q16" s="249">
        <f>+T9</f>
        <v>9.9999964082503334E-3</v>
      </c>
      <c r="R16" s="249">
        <f>+Q5</f>
        <v>286.85000000000002</v>
      </c>
      <c r="S16" s="249">
        <f>+R5</f>
        <v>288</v>
      </c>
      <c r="T16" s="249">
        <f>+S5</f>
        <v>288</v>
      </c>
      <c r="U16" s="248"/>
      <c r="V16" s="126"/>
      <c r="W16" s="126"/>
      <c r="X16" s="126"/>
      <c r="Y16" s="211"/>
      <c r="Z16" s="33"/>
      <c r="AA16" s="33"/>
    </row>
    <row r="17" spans="1:27" ht="18.95" customHeight="1">
      <c r="A17" s="210"/>
      <c r="B17" s="126"/>
      <c r="C17" s="126"/>
      <c r="D17" s="210"/>
      <c r="E17" s="126"/>
      <c r="F17" s="126"/>
      <c r="G17" s="499"/>
      <c r="H17" s="500"/>
      <c r="I17" s="126"/>
      <c r="J17" s="126"/>
      <c r="K17" s="126"/>
      <c r="L17" s="126"/>
      <c r="M17" s="529"/>
      <c r="N17" s="530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211"/>
      <c r="Z17" s="33"/>
      <c r="AA17" s="33"/>
    </row>
    <row r="18" spans="1:27" ht="18.95" customHeight="1" thickBot="1">
      <c r="A18" s="210"/>
      <c r="B18" s="126"/>
      <c r="C18" s="126"/>
      <c r="D18" s="210"/>
      <c r="E18" s="126"/>
      <c r="F18" s="126"/>
      <c r="G18" s="501"/>
      <c r="H18" s="502"/>
      <c r="I18" s="126"/>
      <c r="J18" s="126"/>
      <c r="K18" s="126"/>
      <c r="L18" s="126"/>
      <c r="M18" s="531"/>
      <c r="N18" s="532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211"/>
      <c r="Z18" s="33"/>
      <c r="AA18" s="33"/>
    </row>
    <row r="19" spans="1:27" ht="18.95" customHeight="1">
      <c r="A19" s="210"/>
      <c r="B19" s="126"/>
      <c r="C19" s="126"/>
      <c r="D19" s="210"/>
      <c r="E19" s="126"/>
      <c r="F19" s="126"/>
      <c r="G19" s="126"/>
      <c r="H19" s="210"/>
      <c r="I19" s="126"/>
      <c r="J19" s="126"/>
      <c r="K19" s="126"/>
      <c r="L19" s="126"/>
      <c r="M19" s="126"/>
      <c r="N19" s="210"/>
      <c r="O19" s="126"/>
      <c r="P19" s="126"/>
      <c r="Q19" s="126"/>
      <c r="R19" s="126"/>
      <c r="S19" s="504" t="s">
        <v>109</v>
      </c>
      <c r="T19" s="508">
        <f>((S16*P16-(R16+S16)*Q16)/(R16*P16+(R16+S16)*Q16))*T16</f>
        <v>286.8505996269468</v>
      </c>
      <c r="U19" s="525" t="s">
        <v>7</v>
      </c>
      <c r="V19" s="519">
        <f>+T19</f>
        <v>286.8505996269468</v>
      </c>
      <c r="W19" s="518" t="s">
        <v>7</v>
      </c>
      <c r="X19" s="126"/>
      <c r="Y19" s="211"/>
      <c r="Z19" s="33"/>
      <c r="AA19" s="33"/>
    </row>
    <row r="20" spans="1:27" ht="18.95" customHeight="1" thickBot="1">
      <c r="A20" s="210"/>
      <c r="B20" s="126"/>
      <c r="C20" s="126"/>
      <c r="D20" s="210"/>
      <c r="E20" s="126"/>
      <c r="F20" s="126"/>
      <c r="G20" s="126"/>
      <c r="H20" s="262"/>
      <c r="I20" s="260"/>
      <c r="J20" s="260"/>
      <c r="K20" s="260"/>
      <c r="L20" s="260"/>
      <c r="M20" s="263"/>
      <c r="N20" s="210"/>
      <c r="O20" s="126"/>
      <c r="P20" s="126"/>
      <c r="Q20" s="126"/>
      <c r="R20" s="126"/>
      <c r="S20" s="504"/>
      <c r="T20" s="508"/>
      <c r="U20" s="504"/>
      <c r="V20" s="519"/>
      <c r="W20" s="519"/>
      <c r="X20" s="126"/>
      <c r="Y20" s="211"/>
      <c r="Z20" s="33"/>
      <c r="AA20" s="33"/>
    </row>
    <row r="21" spans="1:27" ht="18.95" customHeight="1" thickBot="1">
      <c r="A21" s="210"/>
      <c r="B21" s="126"/>
      <c r="C21" s="126"/>
      <c r="D21" s="262"/>
      <c r="E21" s="260"/>
      <c r="F21" s="260"/>
      <c r="G21" s="260"/>
      <c r="H21" s="260"/>
      <c r="I21" s="260"/>
      <c r="J21" s="263"/>
      <c r="K21" s="255" t="s">
        <v>26</v>
      </c>
      <c r="L21" s="33"/>
      <c r="M21" s="33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211"/>
      <c r="Z21" s="33"/>
      <c r="AA21" s="33"/>
    </row>
    <row r="22" spans="1:27" ht="18.95" customHeight="1">
      <c r="A22" s="210"/>
      <c r="B22" s="126"/>
      <c r="C22" s="126"/>
      <c r="D22" s="126"/>
      <c r="E22" s="126"/>
      <c r="F22" s="126"/>
      <c r="G22" s="126"/>
      <c r="H22" s="126"/>
      <c r="I22" s="494" t="s">
        <v>72</v>
      </c>
      <c r="J22" s="494"/>
      <c r="K22" s="255"/>
      <c r="L22" s="33"/>
      <c r="M22" s="33"/>
      <c r="N22" s="126"/>
      <c r="O22" s="520" t="s">
        <v>84</v>
      </c>
      <c r="P22" s="520"/>
      <c r="Q22" s="520"/>
      <c r="R22" s="520"/>
      <c r="S22" s="520"/>
      <c r="T22" s="520"/>
      <c r="U22" s="520"/>
      <c r="V22" s="520"/>
      <c r="W22" s="126"/>
      <c r="X22" s="126"/>
      <c r="Y22" s="211"/>
      <c r="Z22" s="33"/>
      <c r="AA22" s="33"/>
    </row>
    <row r="23" spans="1:27" ht="18.95" customHeight="1">
      <c r="A23" s="210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248"/>
      <c r="M23" s="491"/>
      <c r="N23" s="491"/>
      <c r="O23" s="126"/>
      <c r="P23" s="126" t="s">
        <v>73</v>
      </c>
      <c r="Q23" s="126"/>
      <c r="R23" s="126"/>
      <c r="S23" s="126"/>
      <c r="T23" s="126"/>
      <c r="U23" s="126"/>
      <c r="V23" s="126"/>
      <c r="W23" s="126"/>
      <c r="X23" s="126"/>
      <c r="Y23" s="211"/>
      <c r="Z23" s="33"/>
      <c r="AA23" s="33"/>
    </row>
    <row r="24" spans="1:27" ht="18.95" customHeight="1">
      <c r="A24" s="210"/>
      <c r="B24" s="491" t="s">
        <v>9</v>
      </c>
      <c r="C24" s="491"/>
      <c r="D24" s="491"/>
      <c r="E24" s="491"/>
      <c r="F24" s="195">
        <f>+V9</f>
        <v>10</v>
      </c>
      <c r="G24" s="491" t="s">
        <v>8</v>
      </c>
      <c r="H24" s="491"/>
      <c r="I24" s="33"/>
      <c r="J24" s="248"/>
      <c r="K24" s="126"/>
      <c r="L24" s="248"/>
      <c r="M24" s="493"/>
      <c r="N24" s="493"/>
      <c r="O24" s="248"/>
      <c r="P24" s="249" t="s">
        <v>29</v>
      </c>
      <c r="Q24" s="249" t="s">
        <v>171</v>
      </c>
      <c r="R24" s="249" t="s">
        <v>170</v>
      </c>
      <c r="S24" s="506" t="s">
        <v>15</v>
      </c>
      <c r="T24" s="506"/>
      <c r="U24" s="506"/>
      <c r="V24" s="157"/>
      <c r="W24" s="157"/>
      <c r="X24" s="126"/>
      <c r="Y24" s="211"/>
      <c r="Z24" s="33"/>
      <c r="AA24" s="33"/>
    </row>
    <row r="25" spans="1:27" ht="18.95" customHeight="1">
      <c r="A25" s="210"/>
      <c r="B25" s="126"/>
      <c r="C25" s="150" t="s">
        <v>75</v>
      </c>
      <c r="D25" s="126"/>
      <c r="E25" s="126"/>
      <c r="F25" s="126"/>
      <c r="G25" s="126"/>
      <c r="H25" s="33"/>
      <c r="I25" s="136"/>
      <c r="J25" s="136"/>
      <c r="K25" s="33"/>
      <c r="L25" s="248">
        <f>+((Q5+R5)*(S5+T5))/((Q5+R5)+(S5+T5))</f>
        <v>287.42514990665848</v>
      </c>
      <c r="M25" s="493" t="s">
        <v>7</v>
      </c>
      <c r="N25" s="493"/>
      <c r="O25" s="248"/>
      <c r="P25" s="506" t="s">
        <v>16</v>
      </c>
      <c r="Q25" s="506"/>
      <c r="R25" s="506"/>
      <c r="S25" s="506"/>
      <c r="T25" s="506"/>
      <c r="U25" s="249" t="s">
        <v>20</v>
      </c>
      <c r="V25" s="157"/>
      <c r="W25" s="157"/>
      <c r="X25" s="126"/>
      <c r="Y25" s="211"/>
      <c r="Z25" s="33"/>
      <c r="AA25" s="33"/>
    </row>
    <row r="26" spans="1:27" ht="18.95" customHeight="1">
      <c r="A26" s="210"/>
      <c r="B26" s="491" t="s">
        <v>21</v>
      </c>
      <c r="C26" s="491"/>
      <c r="D26" s="491"/>
      <c r="E26" s="491"/>
      <c r="F26" s="264" t="s">
        <v>110</v>
      </c>
      <c r="G26" s="33"/>
      <c r="H26" s="136"/>
      <c r="I26" s="142">
        <f>+F24*T29</f>
        <v>5000.0000077924778</v>
      </c>
      <c r="J26" s="136" t="s">
        <v>8</v>
      </c>
      <c r="K26" s="265">
        <f>+I26/1000</f>
        <v>5.0000000077924778</v>
      </c>
      <c r="L26" s="248" t="s">
        <v>74</v>
      </c>
      <c r="M26" s="491"/>
      <c r="N26" s="491"/>
      <c r="O26" s="248"/>
      <c r="P26" s="108">
        <v>100</v>
      </c>
      <c r="Q26" s="108">
        <v>100</v>
      </c>
      <c r="R26" s="108">
        <v>100</v>
      </c>
      <c r="S26" s="241">
        <f>+U26*T26</f>
        <v>0.40080160258051351</v>
      </c>
      <c r="T26" s="108">
        <v>1</v>
      </c>
      <c r="U26" s="478">
        <v>0.40080160258051351</v>
      </c>
      <c r="V26" s="157"/>
      <c r="W26" s="157"/>
      <c r="X26" s="126"/>
      <c r="Y26" s="211"/>
      <c r="Z26" s="33"/>
      <c r="AA26" s="33"/>
    </row>
    <row r="27" spans="1:27" ht="18.95" customHeight="1">
      <c r="A27" s="210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248"/>
      <c r="P27" s="248"/>
      <c r="Q27" s="248"/>
      <c r="R27" s="248"/>
      <c r="S27" s="248"/>
      <c r="T27" s="126"/>
      <c r="U27" s="126"/>
      <c r="V27" s="126"/>
      <c r="W27" s="126"/>
      <c r="X27" s="126"/>
      <c r="Y27" s="211"/>
      <c r="Z27" s="33"/>
      <c r="AA27" s="33"/>
    </row>
    <row r="28" spans="1:27" ht="18.95" customHeight="1">
      <c r="A28" s="210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57"/>
      <c r="U28" s="126"/>
      <c r="V28" s="126"/>
      <c r="W28" s="126"/>
      <c r="X28" s="126"/>
      <c r="Y28" s="211"/>
      <c r="Z28" s="33"/>
      <c r="AA28" s="33"/>
    </row>
    <row r="29" spans="1:27" ht="18.95" customHeight="1">
      <c r="A29" s="210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515" t="s">
        <v>173</v>
      </c>
      <c r="P29" s="515"/>
      <c r="Q29" s="515"/>
      <c r="R29" s="515"/>
      <c r="S29" s="126"/>
      <c r="T29" s="516">
        <f>((2*P26/S26)+1)*(R26/Q26)</f>
        <v>500.00000077924778</v>
      </c>
      <c r="U29" s="504" t="s">
        <v>17</v>
      </c>
      <c r="V29" s="517">
        <f>20*LOG10(T29)</f>
        <v>53.979400100257294</v>
      </c>
      <c r="W29" s="518" t="s">
        <v>18</v>
      </c>
      <c r="X29" s="126"/>
      <c r="Y29" s="217"/>
      <c r="Z29" s="507"/>
      <c r="AA29" s="33"/>
    </row>
    <row r="30" spans="1:27" ht="18.95" customHeight="1">
      <c r="A30" s="6" t="s">
        <v>0</v>
      </c>
      <c r="B30" s="126"/>
      <c r="C30" s="126"/>
      <c r="D30" s="126"/>
      <c r="E30" s="126"/>
      <c r="F30" s="126"/>
      <c r="G30" s="33"/>
      <c r="H30" s="126"/>
      <c r="I30" s="126"/>
      <c r="J30" s="126"/>
      <c r="K30" s="126"/>
      <c r="L30" s="126"/>
      <c r="M30" s="126"/>
      <c r="N30" s="126"/>
      <c r="O30" s="515"/>
      <c r="P30" s="515"/>
      <c r="Q30" s="515"/>
      <c r="R30" s="515"/>
      <c r="S30" s="126"/>
      <c r="T30" s="516"/>
      <c r="U30" s="508"/>
      <c r="V30" s="517"/>
      <c r="W30" s="519"/>
      <c r="X30" s="126"/>
      <c r="Y30" s="217"/>
      <c r="Z30" s="507"/>
      <c r="AA30" s="264"/>
    </row>
    <row r="31" spans="1:27" ht="18.95" customHeight="1" thickBot="1">
      <c r="A31" s="262"/>
      <c r="B31" s="260"/>
      <c r="C31" s="260"/>
      <c r="D31" s="260"/>
      <c r="E31" s="260"/>
      <c r="F31" s="260"/>
      <c r="G31" s="260"/>
      <c r="H31" s="260"/>
      <c r="I31" s="260"/>
      <c r="J31" s="260"/>
      <c r="K31" s="266"/>
      <c r="L31" s="260"/>
      <c r="M31" s="260"/>
      <c r="N31" s="260"/>
      <c r="O31" s="260"/>
      <c r="P31" s="260"/>
      <c r="Q31" s="260"/>
      <c r="R31" s="260"/>
      <c r="S31" s="260"/>
      <c r="T31" s="260"/>
      <c r="U31" s="267"/>
      <c r="V31" s="260"/>
      <c r="W31" s="260"/>
      <c r="X31" s="260"/>
      <c r="Y31" s="268"/>
      <c r="Z31" s="507"/>
      <c r="AA31" s="33"/>
    </row>
    <row r="32" spans="1:27" ht="18.95" customHeight="1">
      <c r="A32" s="33" t="s">
        <v>22</v>
      </c>
      <c r="B32" s="33"/>
      <c r="C32" s="33"/>
      <c r="D32" s="33"/>
      <c r="E32" s="33"/>
      <c r="F32" s="33"/>
      <c r="G32" s="33"/>
      <c r="H32" s="33"/>
      <c r="I32" s="33"/>
      <c r="J32" s="33"/>
      <c r="K32" s="269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494" t="s">
        <v>114</v>
      </c>
      <c r="Y32" s="494"/>
      <c r="Z32" s="33"/>
      <c r="AA32" s="33" t="s">
        <v>23</v>
      </c>
    </row>
    <row r="33" spans="1:2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269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270"/>
      <c r="W34" s="33"/>
      <c r="X34" s="33"/>
      <c r="Y34" s="33"/>
      <c r="Z34" s="33"/>
      <c r="AA34" s="33"/>
    </row>
    <row r="35" spans="1:2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:27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:27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7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:27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:27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:2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:27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7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</row>
  </sheetData>
  <mergeCells count="48">
    <mergeCell ref="A1:W1"/>
    <mergeCell ref="X1:Y1"/>
    <mergeCell ref="M23:N23"/>
    <mergeCell ref="M24:N24"/>
    <mergeCell ref="X32:Y32"/>
    <mergeCell ref="M26:N26"/>
    <mergeCell ref="V11:X11"/>
    <mergeCell ref="S24:U24"/>
    <mergeCell ref="P25:T25"/>
    <mergeCell ref="U19:U20"/>
    <mergeCell ref="V19:V20"/>
    <mergeCell ref="W19:W20"/>
    <mergeCell ref="B24:E24"/>
    <mergeCell ref="V3:X3"/>
    <mergeCell ref="M7:N10"/>
    <mergeCell ref="M15:N18"/>
    <mergeCell ref="Z29:Z31"/>
    <mergeCell ref="T19:T20"/>
    <mergeCell ref="V9:V10"/>
    <mergeCell ref="W9:W10"/>
    <mergeCell ref="P13:T13"/>
    <mergeCell ref="P15:Q15"/>
    <mergeCell ref="R15:T15"/>
    <mergeCell ref="T9:T10"/>
    <mergeCell ref="U9:U10"/>
    <mergeCell ref="O29:R30"/>
    <mergeCell ref="T29:T30"/>
    <mergeCell ref="U29:U30"/>
    <mergeCell ref="V29:V30"/>
    <mergeCell ref="W29:W30"/>
    <mergeCell ref="S19:S20"/>
    <mergeCell ref="O22:V22"/>
    <mergeCell ref="B26:E26"/>
    <mergeCell ref="G24:H24"/>
    <mergeCell ref="W2:X2"/>
    <mergeCell ref="M25:N25"/>
    <mergeCell ref="I22:J22"/>
    <mergeCell ref="N12:N13"/>
    <mergeCell ref="A8:B8"/>
    <mergeCell ref="A7:B7"/>
    <mergeCell ref="G7:H10"/>
    <mergeCell ref="G15:H18"/>
    <mergeCell ref="I3:J3"/>
    <mergeCell ref="J12:K12"/>
    <mergeCell ref="J13:K13"/>
    <mergeCell ref="G12:G13"/>
    <mergeCell ref="P2:T2"/>
    <mergeCell ref="Q4:T4"/>
  </mergeCells>
  <hyperlinks>
    <hyperlink ref="A30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55"/>
  <sheetViews>
    <sheetView zoomScaleNormal="100" workbookViewId="0">
      <selection sqref="A1:V1"/>
    </sheetView>
  </sheetViews>
  <sheetFormatPr defaultRowHeight="15.75"/>
  <cols>
    <col min="1" max="1" width="11.7109375" style="2" customWidth="1"/>
    <col min="2" max="5" width="2.7109375" style="2" customWidth="1"/>
    <col min="6" max="6" width="8.7109375" style="2" customWidth="1"/>
    <col min="7" max="8" width="2.85546875" style="2" customWidth="1"/>
    <col min="9" max="9" width="8.42578125" style="2" bestFit="1" customWidth="1"/>
    <col min="10" max="11" width="5.7109375" style="2" customWidth="1"/>
    <col min="12" max="12" width="8.7109375" style="2" customWidth="1"/>
    <col min="13" max="14" width="2.85546875" style="2" customWidth="1"/>
    <col min="15" max="15" width="16.7109375" style="2" customWidth="1"/>
    <col min="16" max="16" width="14" style="2" bestFit="1" customWidth="1"/>
    <col min="17" max="17" width="10.7109375" style="2" customWidth="1"/>
    <col min="18" max="18" width="12.7109375" style="2" customWidth="1"/>
    <col min="19" max="21" width="10.7109375" style="2" customWidth="1"/>
    <col min="22" max="22" width="12.7109375" style="2" customWidth="1"/>
    <col min="23" max="23" width="5.7109375" style="2" customWidth="1"/>
    <col min="24" max="24" width="16.140625" style="2" bestFit="1" customWidth="1"/>
    <col min="25" max="25" width="12.7109375" style="2" customWidth="1"/>
    <col min="26" max="26" width="14.5703125" style="2" customWidth="1"/>
    <col min="27" max="30" width="14.7109375" style="2" customWidth="1"/>
    <col min="31" max="31" width="9.140625" style="2"/>
    <col min="32" max="34" width="14.7109375" style="2" customWidth="1"/>
    <col min="35" max="16384" width="9.140625" style="2"/>
  </cols>
  <sheetData>
    <row r="1" spans="1:34" ht="25.5" customHeight="1">
      <c r="A1" s="565" t="s">
        <v>219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425"/>
      <c r="X1" s="568" t="s">
        <v>247</v>
      </c>
      <c r="Y1" s="568"/>
      <c r="Z1" s="568"/>
      <c r="AA1" s="13"/>
      <c r="AB1" s="13"/>
      <c r="AC1" s="523" t="s">
        <v>111</v>
      </c>
      <c r="AD1" s="524"/>
      <c r="AF1" s="453" t="s">
        <v>225</v>
      </c>
    </row>
    <row r="2" spans="1:34" ht="18.95" customHeight="1">
      <c r="A2" s="4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3"/>
      <c r="P2" s="560" t="s">
        <v>4</v>
      </c>
      <c r="Q2" s="560"/>
      <c r="R2" s="560"/>
      <c r="S2" s="560"/>
      <c r="T2" s="560"/>
      <c r="U2" s="560"/>
      <c r="V2" s="560"/>
      <c r="W2" s="3"/>
      <c r="X2" s="560" t="s">
        <v>224</v>
      </c>
      <c r="Y2" s="560"/>
      <c r="Z2" s="560"/>
      <c r="AA2" s="3"/>
      <c r="AB2" s="19"/>
      <c r="AC2" s="19"/>
      <c r="AD2" s="328"/>
      <c r="AE2" s="21"/>
      <c r="AF2" s="457" t="s">
        <v>228</v>
      </c>
      <c r="AG2" s="21"/>
      <c r="AH2" s="21"/>
    </row>
    <row r="3" spans="1:34" ht="18.95" customHeight="1" thickBot="1">
      <c r="A3" s="4"/>
      <c r="B3" s="3"/>
      <c r="C3" s="3"/>
      <c r="D3" s="3"/>
      <c r="E3" s="3"/>
      <c r="F3" s="3"/>
      <c r="G3" s="3"/>
      <c r="H3" s="3"/>
      <c r="I3" s="3"/>
      <c r="J3" s="564" t="s">
        <v>30</v>
      </c>
      <c r="K3" s="564"/>
      <c r="L3" s="3"/>
      <c r="M3" s="3"/>
      <c r="N3" s="3"/>
      <c r="O3" s="3"/>
      <c r="P3" s="433" t="s">
        <v>5</v>
      </c>
      <c r="Q3" s="433" t="s">
        <v>174</v>
      </c>
      <c r="R3" s="433" t="s">
        <v>175</v>
      </c>
      <c r="S3" s="433" t="s">
        <v>176</v>
      </c>
      <c r="T3" s="433" t="s">
        <v>177</v>
      </c>
      <c r="U3" s="433" t="s">
        <v>1</v>
      </c>
      <c r="V3" s="433" t="s">
        <v>2</v>
      </c>
      <c r="W3" s="3"/>
      <c r="X3" s="446" t="s">
        <v>42</v>
      </c>
      <c r="Y3" s="451">
        <v>406</v>
      </c>
      <c r="Z3" s="447" t="s">
        <v>89</v>
      </c>
      <c r="AA3" s="434" t="s">
        <v>88</v>
      </c>
      <c r="AB3" s="455" t="s">
        <v>226</v>
      </c>
      <c r="AC3" s="3"/>
      <c r="AD3" s="329"/>
      <c r="AF3" s="10"/>
      <c r="AG3" s="10"/>
      <c r="AH3" s="22"/>
    </row>
    <row r="4" spans="1:34" ht="18.95" customHeight="1" thickBot="1">
      <c r="A4" s="4"/>
      <c r="B4" s="3"/>
      <c r="C4" s="3"/>
      <c r="D4" s="12"/>
      <c r="E4" s="13"/>
      <c r="F4" s="13"/>
      <c r="G4" s="13"/>
      <c r="H4" s="13"/>
      <c r="I4" s="13"/>
      <c r="J4" s="14"/>
      <c r="K4" s="16"/>
      <c r="L4" s="3"/>
      <c r="M4" s="3"/>
      <c r="N4" s="3"/>
      <c r="O4" s="3"/>
      <c r="P4" s="433" t="s">
        <v>6</v>
      </c>
      <c r="Q4" s="560" t="s">
        <v>13</v>
      </c>
      <c r="R4" s="560"/>
      <c r="S4" s="560"/>
      <c r="T4" s="560"/>
      <c r="U4" s="560"/>
      <c r="V4" s="560"/>
      <c r="W4" s="3"/>
      <c r="X4" s="446" t="s">
        <v>229</v>
      </c>
      <c r="Y4" s="451">
        <v>290</v>
      </c>
      <c r="Z4" s="447" t="s">
        <v>7</v>
      </c>
      <c r="AA4" s="3"/>
      <c r="AB4" s="3"/>
      <c r="AC4" s="3"/>
      <c r="AD4" s="329"/>
      <c r="AF4" s="10"/>
      <c r="AG4" s="10"/>
      <c r="AH4" s="22"/>
    </row>
    <row r="5" spans="1:34" ht="18.95" customHeight="1">
      <c r="A5" s="4"/>
      <c r="B5" s="3"/>
      <c r="C5" s="3"/>
      <c r="D5" s="4"/>
      <c r="E5" s="3"/>
      <c r="F5" s="3"/>
      <c r="G5" s="3"/>
      <c r="H5" s="12"/>
      <c r="I5" s="13"/>
      <c r="J5" s="13"/>
      <c r="K5" s="13"/>
      <c r="L5" s="13"/>
      <c r="M5" s="14"/>
      <c r="N5" s="4"/>
      <c r="O5" s="3"/>
      <c r="P5" s="332">
        <v>5</v>
      </c>
      <c r="Q5" s="304">
        <f>+Y4</f>
        <v>290</v>
      </c>
      <c r="R5" s="304">
        <f>+Y5</f>
        <v>290.7</v>
      </c>
      <c r="S5" s="304">
        <f>+Y6</f>
        <v>290</v>
      </c>
      <c r="T5" s="304">
        <f>+Y7</f>
        <v>290.7</v>
      </c>
      <c r="U5" s="445">
        <v>10000</v>
      </c>
      <c r="V5" s="458">
        <f>+U5</f>
        <v>10000</v>
      </c>
      <c r="W5" s="3"/>
      <c r="X5" s="446" t="s">
        <v>230</v>
      </c>
      <c r="Y5" s="451">
        <v>290.7</v>
      </c>
      <c r="Z5" s="447" t="s">
        <v>7</v>
      </c>
      <c r="AA5" s="3"/>
      <c r="AB5" s="3"/>
      <c r="AC5" s="3"/>
      <c r="AD5" s="5"/>
      <c r="AF5" s="10"/>
      <c r="AG5" s="10"/>
      <c r="AH5" s="22"/>
    </row>
    <row r="6" spans="1:34" ht="18.95" customHeight="1" thickBot="1">
      <c r="A6" s="4"/>
      <c r="B6" s="3"/>
      <c r="C6" s="3"/>
      <c r="D6" s="4"/>
      <c r="E6" s="3"/>
      <c r="F6" s="3"/>
      <c r="G6" s="3"/>
      <c r="H6" s="4"/>
      <c r="I6" s="3"/>
      <c r="J6" s="3"/>
      <c r="K6" s="3"/>
      <c r="L6" s="3"/>
      <c r="M6" s="3"/>
      <c r="N6" s="4"/>
      <c r="O6" s="3"/>
      <c r="P6" s="3"/>
      <c r="Q6" s="3"/>
      <c r="R6" s="3"/>
      <c r="S6" s="3"/>
      <c r="T6" s="3"/>
      <c r="U6" s="3"/>
      <c r="V6" s="3"/>
      <c r="W6" s="3"/>
      <c r="X6" s="446" t="s">
        <v>231</v>
      </c>
      <c r="Y6" s="451">
        <v>290</v>
      </c>
      <c r="Z6" s="447" t="s">
        <v>7</v>
      </c>
      <c r="AA6" s="3"/>
      <c r="AB6" s="3"/>
      <c r="AC6" s="3"/>
      <c r="AD6" s="329"/>
      <c r="AF6" s="10"/>
      <c r="AG6" s="10"/>
      <c r="AH6" s="22"/>
    </row>
    <row r="7" spans="1:34" ht="18.95" customHeight="1">
      <c r="A7" s="4"/>
      <c r="B7" s="3"/>
      <c r="C7" s="3"/>
      <c r="D7" s="4"/>
      <c r="E7" s="3"/>
      <c r="F7" s="436"/>
      <c r="G7" s="545" t="str">
        <f>+Q3</f>
        <v>RSG1</v>
      </c>
      <c r="H7" s="546"/>
      <c r="I7" s="3"/>
      <c r="J7" s="3"/>
      <c r="K7" s="3"/>
      <c r="L7" s="282"/>
      <c r="M7" s="545" t="str">
        <f>+S3</f>
        <v>RSG3</v>
      </c>
      <c r="N7" s="546"/>
      <c r="O7" s="18"/>
      <c r="P7" s="434"/>
      <c r="Q7" s="434"/>
      <c r="R7" s="3"/>
      <c r="S7" s="561">
        <f>((R5/(Q5+R5))-(T5/(S5+T5)))*P5</f>
        <v>0</v>
      </c>
      <c r="T7" s="554" t="s">
        <v>6</v>
      </c>
      <c r="U7" s="562">
        <f>ROUND(S7*1000,2)</f>
        <v>0</v>
      </c>
      <c r="V7" s="563" t="s">
        <v>24</v>
      </c>
      <c r="W7" s="3"/>
      <c r="X7" s="446" t="s">
        <v>232</v>
      </c>
      <c r="Y7" s="451">
        <v>290.7</v>
      </c>
      <c r="Z7" s="447" t="s">
        <v>7</v>
      </c>
      <c r="AA7" s="3"/>
      <c r="AB7" s="3"/>
      <c r="AC7" s="3"/>
      <c r="AD7" s="329"/>
      <c r="AF7" s="10"/>
      <c r="AG7" s="10"/>
      <c r="AH7" s="22"/>
    </row>
    <row r="8" spans="1:34" ht="18.95" customHeight="1">
      <c r="A8" s="430"/>
      <c r="B8" s="434"/>
      <c r="C8" s="434"/>
      <c r="D8" s="279"/>
      <c r="E8" s="434"/>
      <c r="F8" s="434"/>
      <c r="G8" s="547"/>
      <c r="H8" s="548"/>
      <c r="I8" s="3"/>
      <c r="J8" s="3"/>
      <c r="K8" s="3"/>
      <c r="L8" s="434"/>
      <c r="M8" s="547"/>
      <c r="N8" s="548"/>
      <c r="O8" s="301"/>
      <c r="P8" s="301"/>
      <c r="Q8" s="301"/>
      <c r="R8" s="301"/>
      <c r="S8" s="561"/>
      <c r="T8" s="554"/>
      <c r="U8" s="562"/>
      <c r="V8" s="563"/>
      <c r="W8" s="301"/>
      <c r="X8" s="448" t="s">
        <v>233</v>
      </c>
      <c r="Y8" s="451">
        <v>348.8</v>
      </c>
      <c r="Z8" s="447" t="s">
        <v>89</v>
      </c>
      <c r="AA8" s="434" t="s">
        <v>90</v>
      </c>
      <c r="AB8" s="456" t="s">
        <v>227</v>
      </c>
      <c r="AC8" s="3"/>
      <c r="AD8" s="329"/>
      <c r="AF8" s="20"/>
      <c r="AG8" s="10"/>
      <c r="AH8" s="22"/>
    </row>
    <row r="9" spans="1:34" ht="18.95" customHeight="1">
      <c r="A9" s="430"/>
      <c r="B9" s="434"/>
      <c r="C9" s="434"/>
      <c r="D9" s="279"/>
      <c r="E9" s="551">
        <f>+Q5</f>
        <v>290</v>
      </c>
      <c r="F9" s="552"/>
      <c r="G9" s="547"/>
      <c r="H9" s="548"/>
      <c r="I9" s="3"/>
      <c r="J9" s="3"/>
      <c r="K9" s="551">
        <f>+S5</f>
        <v>290</v>
      </c>
      <c r="L9" s="552"/>
      <c r="M9" s="547"/>
      <c r="N9" s="548"/>
      <c r="O9" s="301"/>
      <c r="P9" s="301"/>
      <c r="Q9" s="301"/>
      <c r="R9" s="301"/>
      <c r="S9" s="301"/>
      <c r="T9" s="305"/>
      <c r="U9" s="305"/>
      <c r="V9" s="306"/>
      <c r="W9" s="305"/>
      <c r="X9" s="448" t="s">
        <v>220</v>
      </c>
      <c r="Y9" s="452" t="s">
        <v>248</v>
      </c>
      <c r="Z9" s="433" t="s">
        <v>221</v>
      </c>
      <c r="AA9" s="3"/>
      <c r="AB9" s="3"/>
      <c r="AC9" s="3"/>
      <c r="AD9" s="5"/>
    </row>
    <row r="10" spans="1:34" ht="18.95" customHeight="1" thickBot="1">
      <c r="A10" s="4"/>
      <c r="B10" s="3"/>
      <c r="C10" s="3"/>
      <c r="D10" s="4"/>
      <c r="E10" s="3"/>
      <c r="F10" s="3"/>
      <c r="G10" s="549"/>
      <c r="H10" s="550"/>
      <c r="I10" s="3"/>
      <c r="J10" s="3"/>
      <c r="K10" s="3"/>
      <c r="L10" s="3"/>
      <c r="M10" s="549"/>
      <c r="N10" s="550"/>
      <c r="O10" s="301"/>
      <c r="P10" s="557">
        <f>+U5</f>
        <v>10000</v>
      </c>
      <c r="Q10" s="557"/>
      <c r="R10" s="301"/>
      <c r="S10" s="301"/>
      <c r="T10" s="305"/>
      <c r="U10" s="305"/>
      <c r="V10" s="306"/>
      <c r="W10" s="305"/>
      <c r="X10" s="448" t="s">
        <v>222</v>
      </c>
      <c r="Y10" s="449">
        <v>155</v>
      </c>
      <c r="Z10" s="450" t="s">
        <v>223</v>
      </c>
      <c r="AA10" s="323"/>
      <c r="AB10" s="3"/>
      <c r="AC10" s="3"/>
      <c r="AD10" s="5"/>
    </row>
    <row r="11" spans="1:34" ht="12" customHeight="1" thickBot="1">
      <c r="A11" s="558" t="str">
        <f>CONCATENATE(AA3,Y3,Z3)</f>
        <v>Zin 406 Ω</v>
      </c>
      <c r="B11" s="3"/>
      <c r="C11" s="3"/>
      <c r="D11" s="4"/>
      <c r="E11" s="3"/>
      <c r="F11" s="559" t="s">
        <v>33</v>
      </c>
      <c r="G11" s="3"/>
      <c r="H11" s="12"/>
      <c r="I11" s="3"/>
      <c r="J11" s="3"/>
      <c r="K11" s="3"/>
      <c r="L11" s="3"/>
      <c r="M11" s="3"/>
      <c r="N11" s="12"/>
      <c r="O11" s="435"/>
      <c r="P11" s="540" t="str">
        <f>+U3</f>
        <v>R1</v>
      </c>
      <c r="Q11" s="541"/>
      <c r="R11" s="301"/>
      <c r="S11" s="301"/>
      <c r="T11" s="305"/>
      <c r="U11" s="305"/>
      <c r="V11" s="305"/>
      <c r="W11" s="305"/>
      <c r="X11" s="305"/>
      <c r="Y11" s="3"/>
      <c r="Z11" s="3"/>
      <c r="AA11" s="3"/>
      <c r="AB11" s="3"/>
      <c r="AC11" s="3"/>
      <c r="AD11" s="5"/>
    </row>
    <row r="12" spans="1:34" ht="12" customHeight="1" thickBot="1">
      <c r="A12" s="558"/>
      <c r="B12" s="3"/>
      <c r="C12" s="3"/>
      <c r="D12" s="4"/>
      <c r="E12" s="3"/>
      <c r="F12" s="559"/>
      <c r="G12" s="3"/>
      <c r="H12" s="12"/>
      <c r="I12" s="13"/>
      <c r="J12" s="13"/>
      <c r="K12" s="13"/>
      <c r="L12" s="13"/>
      <c r="M12" s="13"/>
      <c r="N12" s="12"/>
      <c r="O12" s="309"/>
      <c r="P12" s="542"/>
      <c r="Q12" s="543"/>
      <c r="R12" s="313"/>
      <c r="S12" s="314"/>
      <c r="T12" s="437"/>
      <c r="U12" s="437"/>
      <c r="V12" s="437"/>
      <c r="W12" s="437"/>
      <c r="X12" s="437"/>
      <c r="Y12" s="3"/>
      <c r="Z12" s="3"/>
      <c r="AA12" s="3"/>
      <c r="AB12" s="3"/>
      <c r="AC12" s="3"/>
      <c r="AD12" s="5"/>
    </row>
    <row r="13" spans="1:34" ht="18.95" customHeight="1" thickBot="1">
      <c r="A13" s="279" t="s">
        <v>5</v>
      </c>
      <c r="B13" s="3"/>
      <c r="C13" s="3"/>
      <c r="D13" s="4"/>
      <c r="E13" s="3"/>
      <c r="F13" s="322"/>
      <c r="G13" s="553"/>
      <c r="H13" s="4"/>
      <c r="I13" s="30">
        <f>+ROUND(A14/(E9+E19)*E19,4)</f>
        <v>2.5030000000000001</v>
      </c>
      <c r="J13" s="554" t="s">
        <v>6</v>
      </c>
      <c r="K13" s="554"/>
      <c r="L13" s="30">
        <f>+ROUND(A14/(K9+K19)*K19,4)</f>
        <v>2.5030000000000001</v>
      </c>
      <c r="M13" s="3"/>
      <c r="N13" s="555"/>
      <c r="O13" s="554" t="str">
        <f>CONCATENATE(AA8,Y8,Z8)</f>
        <v>Zout 348,8 Ω</v>
      </c>
      <c r="P13" s="301"/>
      <c r="Q13" s="301"/>
      <c r="R13" s="534" t="str">
        <f>CONCATENATE(U7,V7)</f>
        <v>0 mV</v>
      </c>
      <c r="S13" s="534" t="s">
        <v>12</v>
      </c>
      <c r="T13" s="544" t="s">
        <v>260</v>
      </c>
      <c r="U13" s="544"/>
      <c r="V13" s="544"/>
      <c r="W13" s="544"/>
      <c r="X13" s="301"/>
      <c r="Y13" s="19"/>
      <c r="Z13" s="19"/>
      <c r="AA13" s="19"/>
      <c r="AB13" s="19"/>
      <c r="AC13" s="19"/>
      <c r="AD13" s="5"/>
    </row>
    <row r="14" spans="1:34" ht="18.95" customHeight="1" thickBot="1">
      <c r="A14" s="330">
        <f>+P5</f>
        <v>5</v>
      </c>
      <c r="B14" s="9"/>
      <c r="C14" s="11"/>
      <c r="D14" s="11"/>
      <c r="E14" s="9"/>
      <c r="F14" s="3"/>
      <c r="G14" s="553"/>
      <c r="H14" s="4"/>
      <c r="I14" s="3"/>
      <c r="J14" s="19"/>
      <c r="K14" s="19"/>
      <c r="L14" s="3"/>
      <c r="M14" s="3"/>
      <c r="N14" s="555"/>
      <c r="O14" s="554"/>
      <c r="P14" s="556">
        <f>+V5</f>
        <v>10000</v>
      </c>
      <c r="Q14" s="556"/>
      <c r="R14" s="534"/>
      <c r="S14" s="534"/>
      <c r="T14" s="305" t="s">
        <v>261</v>
      </c>
      <c r="U14" s="474">
        <f>+WB!$T$29</f>
        <v>500.00000077924778</v>
      </c>
      <c r="V14" s="475" t="s">
        <v>17</v>
      </c>
      <c r="W14" s="301"/>
      <c r="X14" s="301"/>
      <c r="Y14" s="3"/>
      <c r="Z14" s="3"/>
      <c r="AA14" s="3"/>
      <c r="AB14" s="3"/>
      <c r="AC14" s="3"/>
      <c r="AD14" s="5"/>
    </row>
    <row r="15" spans="1:34" ht="12" customHeight="1" thickBot="1">
      <c r="A15" s="279"/>
      <c r="B15" s="3"/>
      <c r="C15" s="14"/>
      <c r="D15" s="3"/>
      <c r="E15" s="3"/>
      <c r="F15" s="3"/>
      <c r="G15" s="16"/>
      <c r="H15" s="4"/>
      <c r="I15" s="3"/>
      <c r="J15" s="19"/>
      <c r="K15" s="19"/>
      <c r="L15" s="539" t="s">
        <v>32</v>
      </c>
      <c r="M15" s="3"/>
      <c r="N15" s="438"/>
      <c r="O15" s="301"/>
      <c r="P15" s="540" t="str">
        <f>+V3</f>
        <v>R2</v>
      </c>
      <c r="Q15" s="541"/>
      <c r="R15" s="437"/>
      <c r="S15" s="437"/>
      <c r="T15" s="437"/>
      <c r="U15" s="301"/>
      <c r="V15" s="301"/>
      <c r="W15" s="301"/>
      <c r="X15" s="301"/>
      <c r="Y15" s="3"/>
      <c r="Z15" s="3"/>
      <c r="AA15" s="3"/>
      <c r="AB15" s="3"/>
      <c r="AC15" s="3"/>
      <c r="AD15" s="5"/>
    </row>
    <row r="16" spans="1:34" ht="12" customHeight="1" thickBot="1">
      <c r="A16" s="279"/>
      <c r="B16" s="3"/>
      <c r="C16" s="3"/>
      <c r="D16" s="4"/>
      <c r="E16" s="3"/>
      <c r="F16" s="3"/>
      <c r="G16" s="3"/>
      <c r="H16" s="8"/>
      <c r="I16" s="3"/>
      <c r="J16" s="3"/>
      <c r="K16" s="3"/>
      <c r="L16" s="539"/>
      <c r="M16" s="3"/>
      <c r="N16" s="311"/>
      <c r="O16" s="312"/>
      <c r="P16" s="542"/>
      <c r="Q16" s="543"/>
      <c r="R16" s="313"/>
      <c r="S16" s="314"/>
      <c r="T16" s="437"/>
      <c r="U16" s="301"/>
      <c r="V16" s="301"/>
      <c r="W16" s="301"/>
      <c r="X16" s="301"/>
      <c r="Y16" s="3"/>
      <c r="Z16" s="3"/>
      <c r="AA16" s="3"/>
      <c r="AB16" s="3"/>
      <c r="AC16" s="3"/>
      <c r="AD16" s="5"/>
    </row>
    <row r="17" spans="1:30" ht="18.75" customHeight="1">
      <c r="A17" s="4"/>
      <c r="B17" s="3"/>
      <c r="C17" s="3"/>
      <c r="D17" s="4"/>
      <c r="E17" s="3"/>
      <c r="F17" s="282"/>
      <c r="G17" s="545" t="str">
        <f>+R3</f>
        <v>RSG2</v>
      </c>
      <c r="H17" s="546"/>
      <c r="I17" s="3"/>
      <c r="J17" s="3"/>
      <c r="K17" s="3"/>
      <c r="L17" s="436"/>
      <c r="M17" s="545" t="str">
        <f>+T3</f>
        <v>RSG4</v>
      </c>
      <c r="N17" s="546"/>
      <c r="O17" s="301"/>
      <c r="P17" s="315"/>
      <c r="Q17" s="315"/>
      <c r="R17" s="305"/>
      <c r="S17" s="305"/>
      <c r="T17" s="305"/>
      <c r="U17" s="301"/>
      <c r="V17" s="301"/>
      <c r="W17" s="301"/>
      <c r="X17" s="301"/>
      <c r="Y17" s="3"/>
      <c r="Z17" s="3"/>
      <c r="AA17" s="3"/>
      <c r="AB17" s="3"/>
      <c r="AC17" s="3"/>
      <c r="AD17" s="5"/>
    </row>
    <row r="18" spans="1:30" ht="18.75" customHeight="1">
      <c r="A18" s="4"/>
      <c r="B18" s="3"/>
      <c r="C18" s="3"/>
      <c r="D18" s="4"/>
      <c r="E18" s="3"/>
      <c r="F18" s="434"/>
      <c r="G18" s="547"/>
      <c r="H18" s="548"/>
      <c r="I18" s="3"/>
      <c r="J18" s="3"/>
      <c r="K18" s="3"/>
      <c r="L18" s="434"/>
      <c r="M18" s="547"/>
      <c r="N18" s="548"/>
      <c r="O18" s="301"/>
      <c r="P18" s="305"/>
      <c r="Q18" s="305"/>
      <c r="R18" s="305"/>
      <c r="S18" s="305"/>
      <c r="T18" s="305"/>
      <c r="U18" s="305"/>
      <c r="V18" s="435" t="s">
        <v>63</v>
      </c>
      <c r="W18" s="301"/>
      <c r="X18" s="301"/>
      <c r="Y18" s="3"/>
      <c r="Z18" s="3"/>
      <c r="AA18" s="3"/>
      <c r="AB18" s="3"/>
      <c r="AC18" s="3"/>
      <c r="AD18" s="5"/>
    </row>
    <row r="19" spans="1:30" ht="18.75" customHeight="1">
      <c r="A19" s="4"/>
      <c r="B19" s="3"/>
      <c r="C19" s="3"/>
      <c r="D19" s="4"/>
      <c r="E19" s="551">
        <f>+R5</f>
        <v>290.7</v>
      </c>
      <c r="F19" s="552"/>
      <c r="G19" s="547"/>
      <c r="H19" s="548"/>
      <c r="I19" s="3"/>
      <c r="J19" s="3"/>
      <c r="K19" s="551">
        <f>+T5</f>
        <v>290.7</v>
      </c>
      <c r="L19" s="552"/>
      <c r="M19" s="547"/>
      <c r="N19" s="548"/>
      <c r="O19" s="301"/>
      <c r="P19" s="533" t="s">
        <v>34</v>
      </c>
      <c r="Q19" s="534" t="s">
        <v>35</v>
      </c>
      <c r="R19" s="535"/>
      <c r="S19" s="316" t="s">
        <v>36</v>
      </c>
      <c r="T19" s="316" t="s">
        <v>37</v>
      </c>
      <c r="U19" s="327">
        <f>(S20*T20)/(S20+T20)</f>
        <v>290.35000000000002</v>
      </c>
      <c r="V19" s="435">
        <f>+Y3</f>
        <v>406</v>
      </c>
      <c r="W19" s="301"/>
      <c r="X19" s="301"/>
      <c r="Y19" s="3"/>
      <c r="Z19" s="3"/>
      <c r="AA19" s="3"/>
      <c r="AB19" s="3"/>
      <c r="AC19" s="3"/>
      <c r="AD19" s="5"/>
    </row>
    <row r="20" spans="1:30" ht="18.75" customHeight="1" thickBot="1">
      <c r="A20" s="4"/>
      <c r="B20" s="3"/>
      <c r="C20" s="3"/>
      <c r="D20" s="4"/>
      <c r="E20" s="3"/>
      <c r="F20" s="3"/>
      <c r="G20" s="549"/>
      <c r="H20" s="550"/>
      <c r="I20" s="3"/>
      <c r="J20" s="3"/>
      <c r="K20" s="3"/>
      <c r="L20" s="3"/>
      <c r="M20" s="549"/>
      <c r="N20" s="550"/>
      <c r="O20" s="301"/>
      <c r="P20" s="533"/>
      <c r="Q20" s="534"/>
      <c r="R20" s="535"/>
      <c r="S20" s="317">
        <f>+Q5+R5</f>
        <v>580.70000000000005</v>
      </c>
      <c r="T20" s="317">
        <f>S5+T5</f>
        <v>580.70000000000005</v>
      </c>
      <c r="U20" s="301"/>
      <c r="V20" s="435"/>
      <c r="W20" s="301"/>
      <c r="X20" s="301"/>
      <c r="Y20" s="3"/>
      <c r="Z20" s="3"/>
      <c r="AA20" s="3"/>
      <c r="AB20" s="3"/>
      <c r="AC20" s="3"/>
      <c r="AD20" s="5"/>
    </row>
    <row r="21" spans="1:30" ht="18.75" customHeight="1">
      <c r="A21" s="4"/>
      <c r="B21" s="3"/>
      <c r="C21" s="3"/>
      <c r="D21" s="4"/>
      <c r="E21" s="3"/>
      <c r="F21" s="3"/>
      <c r="G21" s="3"/>
      <c r="H21" s="4"/>
      <c r="I21" s="3"/>
      <c r="J21" s="3"/>
      <c r="K21" s="3"/>
      <c r="L21" s="3"/>
      <c r="M21" s="3"/>
      <c r="N21" s="4"/>
      <c r="O21" s="301"/>
      <c r="P21" s="533" t="s">
        <v>234</v>
      </c>
      <c r="Q21" s="534" t="s">
        <v>39</v>
      </c>
      <c r="R21" s="535"/>
      <c r="S21" s="316" t="s">
        <v>40</v>
      </c>
      <c r="T21" s="316" t="s">
        <v>41</v>
      </c>
      <c r="U21" s="305"/>
      <c r="V21" s="435"/>
      <c r="W21" s="319"/>
      <c r="X21" s="301"/>
      <c r="Y21" s="3"/>
      <c r="Z21" s="3"/>
      <c r="AA21" s="3"/>
      <c r="AB21" s="3"/>
      <c r="AC21" s="3"/>
      <c r="AD21" s="5"/>
    </row>
    <row r="22" spans="1:30" ht="18.75" customHeight="1" thickBot="1">
      <c r="A22" s="4"/>
      <c r="B22" s="3"/>
      <c r="C22" s="3"/>
      <c r="D22" s="4"/>
      <c r="E22" s="3"/>
      <c r="F22" s="3"/>
      <c r="G22" s="3"/>
      <c r="H22" s="8"/>
      <c r="I22" s="9"/>
      <c r="J22" s="9"/>
      <c r="K22" s="9"/>
      <c r="L22" s="9"/>
      <c r="M22" s="15"/>
      <c r="N22" s="4"/>
      <c r="O22" s="301"/>
      <c r="P22" s="533"/>
      <c r="Q22" s="534"/>
      <c r="R22" s="535"/>
      <c r="S22" s="318">
        <f>Q5+S5</f>
        <v>580</v>
      </c>
      <c r="T22" s="317">
        <f>R5+T5</f>
        <v>581.4</v>
      </c>
      <c r="U22" s="327">
        <f>(S22*T22)/(S22+T22)</f>
        <v>290.34957809540208</v>
      </c>
      <c r="V22" s="454">
        <f>+Y8</f>
        <v>348.8</v>
      </c>
      <c r="W22" s="305"/>
      <c r="X22" s="301"/>
      <c r="Y22" s="3"/>
      <c r="Z22" s="3"/>
      <c r="AA22" s="3"/>
      <c r="AB22" s="3"/>
      <c r="AC22" s="3"/>
      <c r="AD22" s="5"/>
    </row>
    <row r="23" spans="1:30" ht="18.75" customHeight="1" thickBot="1">
      <c r="A23" s="4"/>
      <c r="B23" s="3"/>
      <c r="C23" s="3"/>
      <c r="D23" s="8"/>
      <c r="E23" s="9"/>
      <c r="F23" s="9"/>
      <c r="G23" s="9"/>
      <c r="H23" s="9"/>
      <c r="I23" s="9"/>
      <c r="J23" s="15"/>
      <c r="K23" s="16"/>
      <c r="L23" s="3"/>
      <c r="M23" s="3"/>
      <c r="N23" s="3"/>
      <c r="O23" s="331"/>
      <c r="P23" s="301"/>
      <c r="Q23" s="301"/>
      <c r="R23" s="301"/>
      <c r="S23" s="301"/>
      <c r="T23" s="301"/>
      <c r="U23" s="301"/>
      <c r="V23" s="301"/>
      <c r="W23" s="301"/>
      <c r="X23" s="301"/>
      <c r="Y23" s="3"/>
      <c r="Z23" s="3"/>
      <c r="AA23" s="3"/>
      <c r="AB23" s="3"/>
      <c r="AC23" s="3"/>
      <c r="AD23" s="5"/>
    </row>
    <row r="24" spans="1:30" ht="18.75" customHeight="1">
      <c r="A24" s="4"/>
      <c r="B24" s="3"/>
      <c r="C24" s="3"/>
      <c r="D24" s="3"/>
      <c r="E24" s="3"/>
      <c r="F24" s="3"/>
      <c r="G24" s="3"/>
      <c r="H24" s="3"/>
      <c r="I24" s="3"/>
      <c r="J24" s="536" t="s">
        <v>31</v>
      </c>
      <c r="K24" s="536"/>
      <c r="L24" s="3"/>
      <c r="M24" s="3"/>
      <c r="N24" s="3"/>
      <c r="O24" s="3"/>
      <c r="P24" s="28" t="s">
        <v>75</v>
      </c>
      <c r="Q24" s="3"/>
      <c r="R24" s="3"/>
      <c r="S24" s="3"/>
      <c r="T24" s="3"/>
      <c r="U24" s="434">
        <f>+((Q5+R5)*(S5+T5))/((Q5+R5)+(S5+T5))</f>
        <v>290.35000000000002</v>
      </c>
      <c r="V24" s="281" t="s">
        <v>7</v>
      </c>
      <c r="W24" s="3"/>
      <c r="X24" s="19"/>
      <c r="Y24" s="3"/>
      <c r="Z24" s="3"/>
      <c r="AA24" s="3"/>
      <c r="AB24" s="29"/>
      <c r="AC24" s="3"/>
      <c r="AD24" s="5"/>
    </row>
    <row r="25" spans="1:30" ht="18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01"/>
      <c r="P25" s="301"/>
      <c r="Q25" s="301"/>
      <c r="R25" s="301"/>
      <c r="S25" s="301"/>
      <c r="T25" s="3"/>
      <c r="U25" s="301"/>
      <c r="V25" s="301"/>
      <c r="W25" s="3"/>
      <c r="X25" s="3"/>
      <c r="Y25" s="3"/>
      <c r="Z25" s="3"/>
      <c r="AA25" s="3"/>
      <c r="AB25" s="3"/>
      <c r="AC25" s="3"/>
      <c r="AD25" s="5"/>
    </row>
    <row r="26" spans="1:30" ht="18.75" customHeight="1">
      <c r="A26" s="4"/>
      <c r="B26" s="19"/>
      <c r="C26" s="19"/>
      <c r="D26" s="19"/>
      <c r="E26" s="19"/>
      <c r="F26" s="321"/>
      <c r="G26" s="19"/>
      <c r="H26" s="19"/>
      <c r="I26" s="3"/>
      <c r="J26" s="434"/>
      <c r="K26" s="3"/>
      <c r="L26" s="434"/>
      <c r="M26" s="29"/>
      <c r="N26" s="29"/>
      <c r="O26" s="305"/>
      <c r="P26" s="305"/>
      <c r="Q26" s="305"/>
      <c r="R26" s="305"/>
      <c r="S26" s="305"/>
      <c r="T26" s="305"/>
      <c r="U26" s="305"/>
      <c r="V26" s="301"/>
      <c r="W26" s="301"/>
      <c r="X26" s="301"/>
      <c r="Y26" s="3"/>
      <c r="Z26" s="3"/>
      <c r="AA26" s="3"/>
      <c r="AB26" s="3"/>
      <c r="AC26" s="3"/>
      <c r="AD26" s="5"/>
    </row>
    <row r="27" spans="1:30" ht="18.75" customHeight="1">
      <c r="A27" s="4"/>
      <c r="B27" s="3"/>
      <c r="C27" s="3"/>
      <c r="D27" s="3"/>
      <c r="E27" s="3"/>
      <c r="F27" s="3"/>
      <c r="G27" s="3"/>
      <c r="H27" s="3"/>
      <c r="I27" s="19"/>
      <c r="J27" s="19"/>
      <c r="K27" s="3"/>
      <c r="L27" s="434"/>
      <c r="M27" s="29"/>
      <c r="N27" s="29"/>
      <c r="O27" s="3"/>
      <c r="P27" s="3"/>
      <c r="Q27" s="3"/>
      <c r="R27" s="3"/>
      <c r="S27" s="3"/>
      <c r="T27" s="3"/>
      <c r="U27" s="3"/>
      <c r="V27" s="435"/>
      <c r="W27" s="435"/>
      <c r="X27" s="435"/>
      <c r="Y27" s="435"/>
      <c r="Z27" s="3"/>
      <c r="AA27" s="3"/>
      <c r="AB27" s="3"/>
      <c r="AC27" s="3"/>
      <c r="AD27" s="5"/>
    </row>
    <row r="28" spans="1:30" ht="18.75" customHeight="1">
      <c r="A28" s="4"/>
      <c r="B28" s="19"/>
      <c r="C28" s="19"/>
      <c r="D28" s="19"/>
      <c r="E28" s="19"/>
      <c r="F28" s="321"/>
      <c r="G28" s="19"/>
      <c r="H28" s="19"/>
      <c r="I28" s="3"/>
      <c r="J28" s="434"/>
      <c r="K28" s="3"/>
      <c r="L28" s="434"/>
      <c r="M28" s="19"/>
      <c r="N28" s="19"/>
      <c r="O28" s="3"/>
      <c r="P28" s="3"/>
      <c r="Q28" s="3"/>
      <c r="R28" s="3"/>
      <c r="S28" s="3"/>
      <c r="T28" s="3"/>
      <c r="U28" s="3"/>
      <c r="V28" s="323"/>
      <c r="W28" s="323"/>
      <c r="X28" s="435"/>
      <c r="Y28" s="435"/>
      <c r="Z28" s="3"/>
      <c r="AA28" s="3"/>
      <c r="AB28" s="3"/>
      <c r="AC28" s="3"/>
      <c r="AD28" s="5"/>
    </row>
    <row r="29" spans="1:30" ht="18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35"/>
      <c r="W29" s="435"/>
      <c r="X29" s="435"/>
      <c r="Y29" s="435"/>
      <c r="Z29" s="3"/>
      <c r="AA29" s="3"/>
      <c r="AB29" s="3"/>
      <c r="AC29" s="3"/>
      <c r="AD29" s="5"/>
    </row>
    <row r="30" spans="1:30" ht="18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01"/>
      <c r="X30" s="301"/>
      <c r="Y30" s="3"/>
      <c r="Z30" s="3"/>
      <c r="AA30" s="3"/>
      <c r="AB30" s="3"/>
      <c r="AC30" s="3"/>
      <c r="AD30" s="5"/>
    </row>
    <row r="31" spans="1:30" ht="18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05"/>
      <c r="W31" s="7"/>
      <c r="X31" s="7"/>
      <c r="Y31" s="3"/>
      <c r="Z31" s="3"/>
      <c r="AA31" s="3"/>
      <c r="AB31" s="3"/>
      <c r="AC31" s="3"/>
      <c r="AD31" s="5"/>
    </row>
    <row r="32" spans="1:30" ht="18.75" customHeight="1">
      <c r="A32" s="4"/>
      <c r="B32" s="3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3"/>
      <c r="O32" s="324"/>
      <c r="P32" s="324"/>
      <c r="Q32" s="324"/>
      <c r="R32" s="324"/>
      <c r="S32" s="301"/>
      <c r="T32" s="306"/>
      <c r="U32" s="325"/>
      <c r="V32" s="305"/>
      <c r="W32" s="7"/>
      <c r="X32" s="7"/>
      <c r="Y32" s="434"/>
      <c r="Z32" s="434"/>
      <c r="AA32" s="3"/>
      <c r="AB32" s="3"/>
      <c r="AC32" s="3"/>
      <c r="AD32" s="5"/>
    </row>
    <row r="33" spans="1:30" ht="18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26"/>
      <c r="L33" s="3"/>
      <c r="M33" s="3"/>
      <c r="N33" s="3"/>
      <c r="O33" s="3"/>
      <c r="P33" s="3"/>
      <c r="Q33" s="3"/>
      <c r="R33" s="3"/>
      <c r="S33" s="3"/>
      <c r="T33" s="3"/>
      <c r="U33" s="17"/>
      <c r="V33" s="323"/>
      <c r="W33" s="323"/>
      <c r="X33" s="435"/>
      <c r="Y33" s="434"/>
      <c r="Z33" s="3"/>
      <c r="AA33" s="3"/>
      <c r="AB33" s="3"/>
      <c r="AC33" s="3"/>
      <c r="AD33" s="5"/>
    </row>
    <row r="34" spans="1:30" ht="18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2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5"/>
    </row>
    <row r="35" spans="1:30" ht="18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2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</row>
    <row r="36" spans="1:30" ht="18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7"/>
      <c r="W36" s="3"/>
      <c r="X36" s="3"/>
      <c r="Y36" s="3"/>
      <c r="Z36" s="3"/>
      <c r="AA36" s="3"/>
      <c r="AB36" s="3"/>
      <c r="AC36" s="3"/>
      <c r="AD36" s="5"/>
    </row>
    <row r="37" spans="1:30" ht="18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5"/>
    </row>
    <row r="38" spans="1:30" ht="18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5"/>
    </row>
    <row r="39" spans="1:30" ht="18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5"/>
    </row>
    <row r="40" spans="1:30" ht="18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5"/>
    </row>
    <row r="41" spans="1:30" ht="18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5"/>
    </row>
    <row r="42" spans="1:30" ht="18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5"/>
    </row>
    <row r="43" spans="1:30" ht="18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5"/>
    </row>
    <row r="44" spans="1:30" ht="18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5"/>
    </row>
    <row r="45" spans="1:30" ht="18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5"/>
    </row>
    <row r="46" spans="1:30" ht="18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5"/>
    </row>
    <row r="47" spans="1:30" ht="18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5"/>
    </row>
    <row r="48" spans="1:30" ht="18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5"/>
    </row>
    <row r="49" spans="1:30" ht="18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5"/>
    </row>
    <row r="50" spans="1:30" ht="18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5"/>
    </row>
    <row r="51" spans="1:30" ht="18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5"/>
    </row>
    <row r="52" spans="1:30" ht="18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5"/>
    </row>
    <row r="53" spans="1:30" ht="18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5"/>
    </row>
    <row r="54" spans="1:30" ht="18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5"/>
    </row>
    <row r="55" spans="1:30" ht="18.75" customHeight="1" thickBot="1">
      <c r="A55" s="8" t="str">
        <f>+WB!A32</f>
        <v>walter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537" t="str">
        <f>+WB!X32</f>
        <v>Reg. No. 1248</v>
      </c>
      <c r="AD55" s="538"/>
    </row>
  </sheetData>
  <mergeCells count="40">
    <mergeCell ref="J3:K3"/>
    <mergeCell ref="A1:V1"/>
    <mergeCell ref="AC1:AD1"/>
    <mergeCell ref="B2:N2"/>
    <mergeCell ref="P2:V2"/>
    <mergeCell ref="X2:Z2"/>
    <mergeCell ref="X1:Z1"/>
    <mergeCell ref="Q4:V4"/>
    <mergeCell ref="G7:H10"/>
    <mergeCell ref="M7:N10"/>
    <mergeCell ref="S7:S8"/>
    <mergeCell ref="T7:T8"/>
    <mergeCell ref="U7:U8"/>
    <mergeCell ref="V7:V8"/>
    <mergeCell ref="E9:F9"/>
    <mergeCell ref="K9:L9"/>
    <mergeCell ref="P10:Q10"/>
    <mergeCell ref="A11:A12"/>
    <mergeCell ref="F11:F12"/>
    <mergeCell ref="P11:Q12"/>
    <mergeCell ref="S13:S14"/>
    <mergeCell ref="T13:W13"/>
    <mergeCell ref="G17:H20"/>
    <mergeCell ref="M17:N20"/>
    <mergeCell ref="E19:F19"/>
    <mergeCell ref="K19:L19"/>
    <mergeCell ref="P19:P20"/>
    <mergeCell ref="G13:G14"/>
    <mergeCell ref="J13:K13"/>
    <mergeCell ref="N13:N14"/>
    <mergeCell ref="O13:O14"/>
    <mergeCell ref="R13:R14"/>
    <mergeCell ref="P14:Q14"/>
    <mergeCell ref="P21:P22"/>
    <mergeCell ref="Q21:R22"/>
    <mergeCell ref="J24:K24"/>
    <mergeCell ref="AC55:AD55"/>
    <mergeCell ref="L15:L16"/>
    <mergeCell ref="P15:Q16"/>
    <mergeCell ref="Q19:R20"/>
  </mergeCells>
  <hyperlinks>
    <hyperlink ref="AF2" display="https://www.aliexpress.com/item/Wide-measurement-platform-scale-pressure-load-cell-YZC-1B-3kg-5kg-8kg-10kg-20kg-40kg-electronic/32796106025.html?gps- id=pcStoreLeaderboard&amp;scm=1007.22922.122102.0&amp;scm_id=1007.22922.122102.0&amp;scm-url=1007.22922.122102.0&amp;pvid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55"/>
  <sheetViews>
    <sheetView workbookViewId="0">
      <selection sqref="A1:V1"/>
    </sheetView>
  </sheetViews>
  <sheetFormatPr defaultRowHeight="15.75"/>
  <cols>
    <col min="1" max="1" width="11.7109375" style="2" customWidth="1"/>
    <col min="2" max="5" width="2.7109375" style="2" customWidth="1"/>
    <col min="6" max="6" width="8.7109375" style="2" customWidth="1"/>
    <col min="7" max="8" width="2.85546875" style="2" customWidth="1"/>
    <col min="9" max="9" width="8.42578125" style="2" bestFit="1" customWidth="1"/>
    <col min="10" max="11" width="5.7109375" style="2" customWidth="1"/>
    <col min="12" max="12" width="8.7109375" style="2" customWidth="1"/>
    <col min="13" max="14" width="2.85546875" style="2" customWidth="1"/>
    <col min="15" max="15" width="16.7109375" style="2" customWidth="1"/>
    <col min="16" max="16" width="14" style="2" bestFit="1" customWidth="1"/>
    <col min="17" max="17" width="10.7109375" style="2" customWidth="1"/>
    <col min="18" max="18" width="12.7109375" style="2" customWidth="1"/>
    <col min="19" max="21" width="10.7109375" style="2" customWidth="1"/>
    <col min="22" max="22" width="12.7109375" style="2" customWidth="1"/>
    <col min="23" max="23" width="5.7109375" style="2" customWidth="1"/>
    <col min="24" max="24" width="16.140625" style="2" bestFit="1" customWidth="1"/>
    <col min="25" max="25" width="12.7109375" style="2" customWidth="1"/>
    <col min="26" max="26" width="14.5703125" style="2" customWidth="1"/>
    <col min="27" max="30" width="14.7109375" style="2" customWidth="1"/>
    <col min="31" max="31" width="9.140625" style="2"/>
    <col min="32" max="34" width="14.7109375" style="2" customWidth="1"/>
    <col min="35" max="16384" width="9.140625" style="2"/>
  </cols>
  <sheetData>
    <row r="1" spans="1:34" ht="25.5" customHeight="1">
      <c r="A1" s="565" t="s">
        <v>179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425"/>
      <c r="X1" s="568" t="s">
        <v>247</v>
      </c>
      <c r="Y1" s="568"/>
      <c r="Z1" s="568"/>
      <c r="AA1" s="13"/>
      <c r="AB1" s="13"/>
      <c r="AC1" s="523" t="s">
        <v>111</v>
      </c>
      <c r="AD1" s="524"/>
    </row>
    <row r="2" spans="1:34" ht="18.95" customHeight="1">
      <c r="A2" s="4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3"/>
      <c r="P2" s="560" t="s">
        <v>4</v>
      </c>
      <c r="Q2" s="560"/>
      <c r="R2" s="560"/>
      <c r="S2" s="560"/>
      <c r="T2" s="560"/>
      <c r="U2" s="560"/>
      <c r="V2" s="560"/>
      <c r="W2" s="3"/>
      <c r="X2" s="560" t="s">
        <v>246</v>
      </c>
      <c r="Y2" s="560"/>
      <c r="Z2" s="560"/>
      <c r="AA2" s="3"/>
      <c r="AB2" s="19"/>
      <c r="AC2" s="19"/>
      <c r="AD2" s="328"/>
      <c r="AE2" s="21"/>
      <c r="AF2" s="21"/>
      <c r="AG2" s="21"/>
      <c r="AH2" s="21"/>
    </row>
    <row r="3" spans="1:34" ht="18.95" customHeight="1" thickBot="1">
      <c r="A3" s="4"/>
      <c r="B3" s="3"/>
      <c r="C3" s="3"/>
      <c r="D3" s="3"/>
      <c r="E3" s="3"/>
      <c r="F3" s="3"/>
      <c r="G3" s="3"/>
      <c r="H3" s="3"/>
      <c r="I3" s="3"/>
      <c r="J3" s="564" t="s">
        <v>30</v>
      </c>
      <c r="K3" s="564"/>
      <c r="L3" s="3"/>
      <c r="M3" s="3"/>
      <c r="N3" s="3"/>
      <c r="O3" s="3"/>
      <c r="P3" s="278" t="s">
        <v>5</v>
      </c>
      <c r="Q3" s="278" t="s">
        <v>174</v>
      </c>
      <c r="R3" s="278" t="s">
        <v>175</v>
      </c>
      <c r="S3" s="278" t="s">
        <v>176</v>
      </c>
      <c r="T3" s="278" t="s">
        <v>177</v>
      </c>
      <c r="U3" s="303" t="s">
        <v>1</v>
      </c>
      <c r="V3" s="303" t="s">
        <v>2</v>
      </c>
      <c r="W3" s="3"/>
      <c r="X3" s="446" t="s">
        <v>42</v>
      </c>
      <c r="Y3" s="429">
        <v>402</v>
      </c>
      <c r="Z3" s="302" t="s">
        <v>89</v>
      </c>
      <c r="AA3" s="280" t="s">
        <v>88</v>
      </c>
      <c r="AB3" s="455" t="s">
        <v>226</v>
      </c>
      <c r="AC3" s="3"/>
      <c r="AD3" s="329"/>
      <c r="AF3" s="10"/>
      <c r="AG3" s="10"/>
      <c r="AH3" s="22"/>
    </row>
    <row r="4" spans="1:34" ht="18.95" customHeight="1" thickBot="1">
      <c r="A4" s="4"/>
      <c r="B4" s="3"/>
      <c r="C4" s="3"/>
      <c r="D4" s="12"/>
      <c r="E4" s="13"/>
      <c r="F4" s="13"/>
      <c r="G4" s="13"/>
      <c r="H4" s="13"/>
      <c r="I4" s="13"/>
      <c r="J4" s="14"/>
      <c r="K4" s="16"/>
      <c r="L4" s="3"/>
      <c r="M4" s="3"/>
      <c r="N4" s="3"/>
      <c r="O4" s="3"/>
      <c r="P4" s="278" t="s">
        <v>6</v>
      </c>
      <c r="Q4" s="560" t="s">
        <v>13</v>
      </c>
      <c r="R4" s="560"/>
      <c r="S4" s="560"/>
      <c r="T4" s="560"/>
      <c r="U4" s="560"/>
      <c r="V4" s="560"/>
      <c r="W4" s="3"/>
      <c r="X4" s="446" t="s">
        <v>229</v>
      </c>
      <c r="Y4" s="429">
        <v>286.85000000000002</v>
      </c>
      <c r="Z4" s="302" t="s">
        <v>7</v>
      </c>
      <c r="AA4" s="3"/>
      <c r="AB4" s="3"/>
      <c r="AC4" s="3"/>
      <c r="AD4" s="329"/>
      <c r="AF4" s="10"/>
      <c r="AG4" s="10"/>
      <c r="AH4" s="22"/>
    </row>
    <row r="5" spans="1:34" ht="18.95" customHeight="1">
      <c r="A5" s="4"/>
      <c r="B5" s="3"/>
      <c r="C5" s="3"/>
      <c r="D5" s="4"/>
      <c r="E5" s="3"/>
      <c r="F5" s="3"/>
      <c r="G5" s="3"/>
      <c r="H5" s="12"/>
      <c r="I5" s="13"/>
      <c r="J5" s="13"/>
      <c r="K5" s="13"/>
      <c r="L5" s="13"/>
      <c r="M5" s="14"/>
      <c r="N5" s="4"/>
      <c r="O5" s="3"/>
      <c r="P5" s="332">
        <v>5</v>
      </c>
      <c r="Q5" s="304">
        <f>+Y4</f>
        <v>286.85000000000002</v>
      </c>
      <c r="R5" s="304">
        <f>+Y5</f>
        <v>288</v>
      </c>
      <c r="S5" s="304">
        <f>+Y6</f>
        <v>288</v>
      </c>
      <c r="T5" s="304">
        <f>+Y7</f>
        <v>286.85000000000002</v>
      </c>
      <c r="U5" s="333">
        <v>10000</v>
      </c>
      <c r="V5" s="471">
        <f>+U5</f>
        <v>10000</v>
      </c>
      <c r="W5" s="3"/>
      <c r="X5" s="446" t="s">
        <v>230</v>
      </c>
      <c r="Y5" s="429">
        <v>288</v>
      </c>
      <c r="Z5" s="302" t="s">
        <v>7</v>
      </c>
      <c r="AA5" s="3"/>
      <c r="AB5" s="3"/>
      <c r="AC5" s="3"/>
      <c r="AD5" s="5"/>
      <c r="AF5" s="10"/>
      <c r="AG5" s="10"/>
      <c r="AH5" s="22"/>
    </row>
    <row r="6" spans="1:34" ht="18.95" customHeight="1" thickBot="1">
      <c r="A6" s="4"/>
      <c r="B6" s="3"/>
      <c r="C6" s="3"/>
      <c r="D6" s="4"/>
      <c r="E6" s="3"/>
      <c r="F6" s="3"/>
      <c r="G6" s="3"/>
      <c r="H6" s="4"/>
      <c r="I6" s="3"/>
      <c r="J6" s="3"/>
      <c r="K6" s="3"/>
      <c r="L6" s="3"/>
      <c r="M6" s="3"/>
      <c r="N6" s="4"/>
      <c r="O6" s="3"/>
      <c r="P6" s="3"/>
      <c r="Q6" s="3"/>
      <c r="R6" s="3"/>
      <c r="S6" s="470">
        <f>+Y7</f>
        <v>286.85000000000002</v>
      </c>
      <c r="T6" s="3"/>
      <c r="U6" s="3"/>
      <c r="V6" s="3"/>
      <c r="W6" s="3"/>
      <c r="X6" s="446" t="s">
        <v>231</v>
      </c>
      <c r="Y6" s="429">
        <v>288</v>
      </c>
      <c r="Z6" s="302" t="s">
        <v>7</v>
      </c>
      <c r="AA6" s="3"/>
      <c r="AB6" s="3"/>
      <c r="AC6" s="3"/>
      <c r="AD6" s="329"/>
      <c r="AF6" s="10"/>
      <c r="AG6" s="10"/>
      <c r="AH6" s="22"/>
    </row>
    <row r="7" spans="1:34" ht="18.95" customHeight="1">
      <c r="A7" s="4"/>
      <c r="B7" s="3"/>
      <c r="C7" s="3"/>
      <c r="D7" s="4"/>
      <c r="E7" s="3"/>
      <c r="F7" s="283"/>
      <c r="G7" s="545" t="str">
        <f>+Q3</f>
        <v>RSG1</v>
      </c>
      <c r="H7" s="546"/>
      <c r="I7" s="3"/>
      <c r="J7" s="3"/>
      <c r="K7" s="3"/>
      <c r="L7" s="282"/>
      <c r="M7" s="545" t="str">
        <f>+S3</f>
        <v>RSG3</v>
      </c>
      <c r="N7" s="546"/>
      <c r="O7" s="18"/>
      <c r="P7" s="280"/>
      <c r="Q7" s="280"/>
      <c r="R7" s="3"/>
      <c r="S7" s="561">
        <f>((R5/(Q5+R5))-(T5/(S5+T5)))*P5</f>
        <v>1.0002609376358607E-2</v>
      </c>
      <c r="T7" s="554" t="s">
        <v>6</v>
      </c>
      <c r="U7" s="562">
        <f>ROUND(S7*1000,2)</f>
        <v>10</v>
      </c>
      <c r="V7" s="563" t="s">
        <v>24</v>
      </c>
      <c r="W7" s="3"/>
      <c r="X7" s="446" t="s">
        <v>232</v>
      </c>
      <c r="Y7" s="429">
        <v>286.85000000000002</v>
      </c>
      <c r="Z7" s="302" t="s">
        <v>7</v>
      </c>
      <c r="AA7" s="3"/>
      <c r="AB7" s="3"/>
      <c r="AC7" s="3"/>
      <c r="AD7" s="329"/>
      <c r="AF7" s="10"/>
      <c r="AG7" s="10"/>
      <c r="AH7" s="22"/>
    </row>
    <row r="8" spans="1:34" ht="18.95" customHeight="1">
      <c r="A8" s="430"/>
      <c r="B8" s="280"/>
      <c r="C8" s="280"/>
      <c r="D8" s="279"/>
      <c r="E8" s="280"/>
      <c r="F8" s="280"/>
      <c r="G8" s="547"/>
      <c r="H8" s="548"/>
      <c r="I8" s="3"/>
      <c r="J8" s="3"/>
      <c r="K8" s="3"/>
      <c r="L8" s="280"/>
      <c r="M8" s="547"/>
      <c r="N8" s="548"/>
      <c r="O8" s="301"/>
      <c r="P8" s="301"/>
      <c r="Q8" s="301"/>
      <c r="R8" s="301"/>
      <c r="S8" s="561"/>
      <c r="T8" s="554"/>
      <c r="U8" s="562"/>
      <c r="V8" s="563"/>
      <c r="W8" s="301"/>
      <c r="X8" s="448" t="s">
        <v>233</v>
      </c>
      <c r="Y8" s="429">
        <v>350</v>
      </c>
      <c r="Z8" s="302" t="s">
        <v>89</v>
      </c>
      <c r="AA8" s="280" t="s">
        <v>90</v>
      </c>
      <c r="AB8" s="456" t="s">
        <v>227</v>
      </c>
      <c r="AC8" s="3"/>
      <c r="AD8" s="329"/>
      <c r="AF8" s="20"/>
      <c r="AG8" s="10"/>
      <c r="AH8" s="22"/>
    </row>
    <row r="9" spans="1:34" ht="18.95" customHeight="1">
      <c r="A9" s="430"/>
      <c r="B9" s="280"/>
      <c r="C9" s="280"/>
      <c r="D9" s="279"/>
      <c r="E9" s="551">
        <f>+Q5</f>
        <v>286.85000000000002</v>
      </c>
      <c r="F9" s="552"/>
      <c r="G9" s="547"/>
      <c r="H9" s="548"/>
      <c r="I9" s="3"/>
      <c r="J9" s="3"/>
      <c r="K9" s="551">
        <f>+S5</f>
        <v>288</v>
      </c>
      <c r="L9" s="552"/>
      <c r="M9" s="547"/>
      <c r="N9" s="548"/>
      <c r="O9" s="301"/>
      <c r="P9" s="301"/>
      <c r="Q9" s="301"/>
      <c r="R9" s="301"/>
      <c r="S9" s="301"/>
      <c r="T9" s="305"/>
      <c r="U9" s="305"/>
      <c r="V9" s="306"/>
      <c r="W9" s="305"/>
      <c r="X9" s="448" t="s">
        <v>220</v>
      </c>
      <c r="Y9" s="452">
        <v>2</v>
      </c>
      <c r="Z9" s="444" t="s">
        <v>221</v>
      </c>
      <c r="AA9" s="3"/>
      <c r="AB9" s="3"/>
      <c r="AC9" s="3"/>
      <c r="AD9" s="5"/>
    </row>
    <row r="10" spans="1:34" ht="18.95" customHeight="1" thickBot="1">
      <c r="A10" s="4"/>
      <c r="B10" s="3"/>
      <c r="C10" s="3"/>
      <c r="D10" s="4"/>
      <c r="E10" s="3"/>
      <c r="F10" s="3"/>
      <c r="G10" s="549"/>
      <c r="H10" s="550"/>
      <c r="I10" s="3"/>
      <c r="J10" s="3"/>
      <c r="K10" s="3"/>
      <c r="L10" s="3"/>
      <c r="M10" s="549"/>
      <c r="N10" s="550"/>
      <c r="O10" s="301"/>
      <c r="P10" s="557">
        <f>+U5</f>
        <v>10000</v>
      </c>
      <c r="Q10" s="557"/>
      <c r="R10" s="301"/>
      <c r="S10" s="301"/>
      <c r="T10" s="305"/>
      <c r="U10" s="305"/>
      <c r="V10" s="306"/>
      <c r="W10" s="305"/>
      <c r="X10" s="448" t="s">
        <v>222</v>
      </c>
      <c r="Y10" s="449">
        <v>154</v>
      </c>
      <c r="Z10" s="450" t="s">
        <v>223</v>
      </c>
      <c r="AA10" s="323"/>
      <c r="AB10" s="3"/>
      <c r="AC10" s="3"/>
      <c r="AD10" s="5"/>
    </row>
    <row r="11" spans="1:34" ht="12" customHeight="1" thickBot="1">
      <c r="A11" s="558" t="str">
        <f>CONCATENATE(AA3,Y3,Z3)</f>
        <v>Zin 402 Ω</v>
      </c>
      <c r="B11" s="3"/>
      <c r="C11" s="3"/>
      <c r="D11" s="4"/>
      <c r="E11" s="3"/>
      <c r="F11" s="559" t="s">
        <v>33</v>
      </c>
      <c r="G11" s="3"/>
      <c r="H11" s="12"/>
      <c r="I11" s="3"/>
      <c r="J11" s="3"/>
      <c r="K11" s="3"/>
      <c r="L11" s="3"/>
      <c r="M11" s="3"/>
      <c r="N11" s="12"/>
      <c r="O11" s="308"/>
      <c r="P11" s="540" t="str">
        <f>+U3</f>
        <v>R1</v>
      </c>
      <c r="Q11" s="541"/>
      <c r="R11" s="301"/>
      <c r="S11" s="301"/>
      <c r="T11" s="305"/>
      <c r="U11" s="305"/>
      <c r="V11" s="305"/>
      <c r="W11" s="305"/>
      <c r="X11" s="305"/>
      <c r="Y11" s="3"/>
      <c r="Z11" s="3"/>
      <c r="AA11" s="3"/>
      <c r="AB11" s="3"/>
      <c r="AC11" s="3"/>
      <c r="AD11" s="5"/>
    </row>
    <row r="12" spans="1:34" ht="12" customHeight="1" thickBot="1">
      <c r="A12" s="558"/>
      <c r="B12" s="3"/>
      <c r="C12" s="3"/>
      <c r="D12" s="4"/>
      <c r="E12" s="3"/>
      <c r="F12" s="559"/>
      <c r="G12" s="3"/>
      <c r="H12" s="12"/>
      <c r="I12" s="13"/>
      <c r="J12" s="13"/>
      <c r="K12" s="13"/>
      <c r="L12" s="13"/>
      <c r="M12" s="13"/>
      <c r="N12" s="12"/>
      <c r="O12" s="309"/>
      <c r="P12" s="542"/>
      <c r="Q12" s="543"/>
      <c r="R12" s="313"/>
      <c r="S12" s="314"/>
      <c r="T12" s="307"/>
      <c r="U12" s="307"/>
      <c r="V12" s="307"/>
      <c r="W12" s="307"/>
      <c r="X12" s="307"/>
      <c r="Y12" s="3"/>
      <c r="Z12" s="3"/>
      <c r="AA12" s="3"/>
      <c r="AB12" s="3"/>
      <c r="AC12" s="3"/>
      <c r="AD12" s="5"/>
    </row>
    <row r="13" spans="1:34" ht="18.95" customHeight="1" thickBot="1">
      <c r="A13" s="279" t="s">
        <v>5</v>
      </c>
      <c r="B13" s="3"/>
      <c r="C13" s="3"/>
      <c r="D13" s="4"/>
      <c r="E13" s="3"/>
      <c r="F13" s="322"/>
      <c r="G13" s="553"/>
      <c r="H13" s="4"/>
      <c r="I13" s="30">
        <f>+ROUND(A14/(E9+E19)*E19,4)</f>
        <v>2.5049999999999999</v>
      </c>
      <c r="J13" s="554" t="s">
        <v>6</v>
      </c>
      <c r="K13" s="554"/>
      <c r="L13" s="30">
        <f>+ROUND(A14/(K9+K19)*K19,4)</f>
        <v>2.4950000000000001</v>
      </c>
      <c r="M13" s="3"/>
      <c r="N13" s="555"/>
      <c r="O13" s="554" t="str">
        <f>CONCATENATE(AA8,Y8,Z8)</f>
        <v>Zout 350 Ω</v>
      </c>
      <c r="P13" s="301"/>
      <c r="Q13" s="301"/>
      <c r="R13" s="534" t="str">
        <f>CONCATENATE(U7,V7)</f>
        <v>10 mV</v>
      </c>
      <c r="S13" s="534" t="s">
        <v>12</v>
      </c>
      <c r="T13" s="544" t="s">
        <v>260</v>
      </c>
      <c r="U13" s="544"/>
      <c r="V13" s="544"/>
      <c r="W13" s="544"/>
      <c r="X13" s="301"/>
      <c r="Y13" s="19"/>
      <c r="Z13" s="19"/>
      <c r="AA13" s="19"/>
      <c r="AB13" s="19"/>
      <c r="AC13" s="19"/>
      <c r="AD13" s="5"/>
    </row>
    <row r="14" spans="1:34" ht="18.95" customHeight="1" thickBot="1">
      <c r="A14" s="330">
        <f>+P5</f>
        <v>5</v>
      </c>
      <c r="B14" s="9"/>
      <c r="C14" s="11"/>
      <c r="D14" s="11"/>
      <c r="E14" s="9"/>
      <c r="F14" s="3"/>
      <c r="G14" s="553"/>
      <c r="H14" s="4"/>
      <c r="I14" s="3"/>
      <c r="J14" s="19"/>
      <c r="K14" s="19"/>
      <c r="L14" s="3"/>
      <c r="M14" s="3"/>
      <c r="N14" s="555"/>
      <c r="O14" s="554"/>
      <c r="P14" s="556">
        <f>+V5</f>
        <v>10000</v>
      </c>
      <c r="Q14" s="556"/>
      <c r="R14" s="534"/>
      <c r="S14" s="534"/>
      <c r="T14" s="305" t="s">
        <v>261</v>
      </c>
      <c r="U14" s="474">
        <f>+WB!$T$29</f>
        <v>500.00000077924778</v>
      </c>
      <c r="V14" s="475" t="s">
        <v>17</v>
      </c>
      <c r="W14" s="301"/>
      <c r="X14" s="301"/>
      <c r="Y14" s="3"/>
      <c r="Z14" s="3"/>
      <c r="AA14" s="3"/>
      <c r="AB14" s="3"/>
      <c r="AC14" s="3"/>
      <c r="AD14" s="5"/>
    </row>
    <row r="15" spans="1:34" ht="12" customHeight="1" thickBot="1">
      <c r="A15" s="279"/>
      <c r="B15" s="3"/>
      <c r="C15" s="14"/>
      <c r="D15" s="3"/>
      <c r="E15" s="3"/>
      <c r="F15" s="3"/>
      <c r="G15" s="16"/>
      <c r="H15" s="4"/>
      <c r="I15" s="3"/>
      <c r="J15" s="19"/>
      <c r="K15" s="19"/>
      <c r="L15" s="539" t="s">
        <v>32</v>
      </c>
      <c r="M15" s="3"/>
      <c r="N15" s="310"/>
      <c r="O15" s="301"/>
      <c r="P15" s="540" t="str">
        <f>+V3</f>
        <v>R2</v>
      </c>
      <c r="Q15" s="541"/>
      <c r="R15" s="307"/>
      <c r="S15" s="307"/>
      <c r="T15" s="307"/>
      <c r="U15" s="301"/>
      <c r="V15" s="301"/>
      <c r="W15" s="301"/>
      <c r="X15" s="301"/>
      <c r="Y15" s="3"/>
      <c r="Z15" s="3"/>
      <c r="AA15" s="3"/>
      <c r="AB15" s="3"/>
      <c r="AC15" s="3"/>
      <c r="AD15" s="5"/>
    </row>
    <row r="16" spans="1:34" ht="12" customHeight="1" thickBot="1">
      <c r="A16" s="279"/>
      <c r="B16" s="3"/>
      <c r="C16" s="3"/>
      <c r="D16" s="4"/>
      <c r="E16" s="3"/>
      <c r="F16" s="3"/>
      <c r="G16" s="3"/>
      <c r="H16" s="8"/>
      <c r="I16" s="3"/>
      <c r="J16" s="3"/>
      <c r="K16" s="3"/>
      <c r="L16" s="539"/>
      <c r="M16" s="3"/>
      <c r="N16" s="311"/>
      <c r="O16" s="312"/>
      <c r="P16" s="542"/>
      <c r="Q16" s="543"/>
      <c r="R16" s="313"/>
      <c r="S16" s="314"/>
      <c r="T16" s="307"/>
      <c r="U16" s="301"/>
      <c r="V16" s="301"/>
      <c r="W16" s="301"/>
      <c r="X16" s="301"/>
      <c r="Y16" s="3"/>
      <c r="Z16" s="3"/>
      <c r="AA16" s="3"/>
      <c r="AB16" s="3"/>
      <c r="AC16" s="3"/>
      <c r="AD16" s="5"/>
    </row>
    <row r="17" spans="1:30" ht="18.95" customHeight="1">
      <c r="A17" s="4"/>
      <c r="B17" s="3"/>
      <c r="C17" s="3"/>
      <c r="D17" s="4"/>
      <c r="E17" s="3"/>
      <c r="F17" s="282"/>
      <c r="G17" s="545" t="str">
        <f>+R3</f>
        <v>RSG2</v>
      </c>
      <c r="H17" s="546"/>
      <c r="I17" s="3"/>
      <c r="J17" s="3"/>
      <c r="K17" s="3"/>
      <c r="L17" s="283"/>
      <c r="M17" s="545" t="str">
        <f>+T3</f>
        <v>RSG4</v>
      </c>
      <c r="N17" s="546"/>
      <c r="O17" s="301"/>
      <c r="P17" s="315"/>
      <c r="Q17" s="315"/>
      <c r="R17" s="305"/>
      <c r="S17" s="305"/>
      <c r="T17" s="305"/>
      <c r="U17" s="301"/>
      <c r="V17" s="301"/>
      <c r="W17" s="301"/>
      <c r="X17" s="301"/>
      <c r="Y17" s="3"/>
      <c r="Z17" s="3"/>
      <c r="AA17" s="3"/>
      <c r="AB17" s="3"/>
      <c r="AC17" s="3"/>
      <c r="AD17" s="5"/>
    </row>
    <row r="18" spans="1:30" ht="18.95" customHeight="1">
      <c r="A18" s="4"/>
      <c r="B18" s="3"/>
      <c r="C18" s="3"/>
      <c r="D18" s="4"/>
      <c r="E18" s="3"/>
      <c r="F18" s="280"/>
      <c r="G18" s="547"/>
      <c r="H18" s="548"/>
      <c r="I18" s="3"/>
      <c r="J18" s="3"/>
      <c r="K18" s="3"/>
      <c r="L18" s="280"/>
      <c r="M18" s="547"/>
      <c r="N18" s="548"/>
      <c r="O18" s="301"/>
      <c r="P18" s="305"/>
      <c r="Q18" s="305"/>
      <c r="R18" s="305"/>
      <c r="S18" s="305"/>
      <c r="T18" s="305"/>
      <c r="U18" s="305"/>
      <c r="V18" s="308" t="s">
        <v>63</v>
      </c>
      <c r="W18" s="301"/>
      <c r="X18" s="301"/>
      <c r="Y18" s="3"/>
      <c r="Z18" s="3"/>
      <c r="AA18" s="3"/>
      <c r="AB18" s="3"/>
      <c r="AC18" s="3"/>
      <c r="AD18" s="5"/>
    </row>
    <row r="19" spans="1:30" ht="18.95" customHeight="1">
      <c r="A19" s="4"/>
      <c r="B19" s="3"/>
      <c r="C19" s="3"/>
      <c r="D19" s="4"/>
      <c r="E19" s="551">
        <f>+R5</f>
        <v>288</v>
      </c>
      <c r="F19" s="552"/>
      <c r="G19" s="547"/>
      <c r="H19" s="548"/>
      <c r="I19" s="3"/>
      <c r="J19" s="3"/>
      <c r="K19" s="551">
        <f>+T5</f>
        <v>286.85000000000002</v>
      </c>
      <c r="L19" s="552"/>
      <c r="M19" s="547"/>
      <c r="N19" s="548"/>
      <c r="O19" s="301"/>
      <c r="P19" s="570" t="s">
        <v>34</v>
      </c>
      <c r="Q19" s="534" t="s">
        <v>35</v>
      </c>
      <c r="R19" s="535"/>
      <c r="S19" s="316" t="s">
        <v>36</v>
      </c>
      <c r="T19" s="316" t="s">
        <v>37</v>
      </c>
      <c r="U19" s="327">
        <f>(S20*T20)/(S20+T20)</f>
        <v>287.42500000000001</v>
      </c>
      <c r="V19" s="308">
        <f>+Y3</f>
        <v>402</v>
      </c>
      <c r="W19" s="301"/>
      <c r="X19" s="301"/>
      <c r="Y19" s="3"/>
      <c r="Z19" s="3"/>
      <c r="AA19" s="3"/>
      <c r="AB19" s="3"/>
      <c r="AC19" s="3"/>
      <c r="AD19" s="5"/>
    </row>
    <row r="20" spans="1:30" ht="18.95" customHeight="1" thickBot="1">
      <c r="A20" s="4"/>
      <c r="B20" s="3"/>
      <c r="C20" s="3"/>
      <c r="D20" s="4"/>
      <c r="E20" s="3"/>
      <c r="F20" s="3"/>
      <c r="G20" s="549"/>
      <c r="H20" s="550"/>
      <c r="I20" s="3"/>
      <c r="J20" s="3"/>
      <c r="K20" s="3"/>
      <c r="L20" s="3"/>
      <c r="M20" s="549"/>
      <c r="N20" s="550"/>
      <c r="O20" s="301"/>
      <c r="P20" s="570"/>
      <c r="Q20" s="534"/>
      <c r="R20" s="535"/>
      <c r="S20" s="317">
        <f>+Q5+R5</f>
        <v>574.85</v>
      </c>
      <c r="T20" s="317">
        <f>S5+T5</f>
        <v>574.85</v>
      </c>
      <c r="U20" s="301"/>
      <c r="V20" s="308"/>
      <c r="W20" s="301"/>
      <c r="X20" s="301"/>
      <c r="Y20" s="3"/>
      <c r="Z20" s="3"/>
      <c r="AA20" s="3"/>
      <c r="AB20" s="3"/>
      <c r="AC20" s="3"/>
      <c r="AD20" s="5"/>
    </row>
    <row r="21" spans="1:30" ht="18.95" customHeight="1">
      <c r="A21" s="4"/>
      <c r="B21" s="3"/>
      <c r="C21" s="3"/>
      <c r="D21" s="4"/>
      <c r="E21" s="3"/>
      <c r="F21" s="3"/>
      <c r="G21" s="3"/>
      <c r="H21" s="4"/>
      <c r="I21" s="3"/>
      <c r="J21" s="3"/>
      <c r="K21" s="3"/>
      <c r="L21" s="3"/>
      <c r="M21" s="3"/>
      <c r="N21" s="4"/>
      <c r="O21" s="301"/>
      <c r="P21" s="569" t="s">
        <v>38</v>
      </c>
      <c r="Q21" s="534" t="s">
        <v>39</v>
      </c>
      <c r="R21" s="535"/>
      <c r="S21" s="316" t="s">
        <v>40</v>
      </c>
      <c r="T21" s="316" t="s">
        <v>41</v>
      </c>
      <c r="U21" s="305"/>
      <c r="V21" s="308"/>
      <c r="W21" s="319"/>
      <c r="X21" s="301"/>
      <c r="Y21" s="3"/>
      <c r="Z21" s="3"/>
      <c r="AA21" s="3"/>
      <c r="AB21" s="3"/>
      <c r="AC21" s="3"/>
      <c r="AD21" s="5"/>
    </row>
    <row r="22" spans="1:30" ht="18.95" customHeight="1" thickBot="1">
      <c r="A22" s="4"/>
      <c r="B22" s="3"/>
      <c r="C22" s="3"/>
      <c r="D22" s="4"/>
      <c r="E22" s="3"/>
      <c r="F22" s="3"/>
      <c r="G22" s="3"/>
      <c r="H22" s="8"/>
      <c r="I22" s="9"/>
      <c r="J22" s="9"/>
      <c r="K22" s="9"/>
      <c r="L22" s="9"/>
      <c r="M22" s="15"/>
      <c r="N22" s="4"/>
      <c r="O22" s="301"/>
      <c r="P22" s="569"/>
      <c r="Q22" s="534"/>
      <c r="R22" s="535"/>
      <c r="S22" s="318">
        <f>Q5+S5</f>
        <v>574.85</v>
      </c>
      <c r="T22" s="317">
        <f>R5+T5</f>
        <v>574.85</v>
      </c>
      <c r="U22" s="327">
        <f>(S22*T22)/(S22+T22)</f>
        <v>287.42500000000001</v>
      </c>
      <c r="V22" s="320">
        <f>+Y8</f>
        <v>350</v>
      </c>
      <c r="W22" s="305"/>
      <c r="X22" s="301"/>
      <c r="Y22" s="3"/>
      <c r="Z22" s="3"/>
      <c r="AA22" s="3"/>
      <c r="AB22" s="3"/>
      <c r="AC22" s="3"/>
      <c r="AD22" s="5"/>
    </row>
    <row r="23" spans="1:30" ht="18.95" customHeight="1" thickBot="1">
      <c r="A23" s="4"/>
      <c r="B23" s="3"/>
      <c r="C23" s="3"/>
      <c r="D23" s="8"/>
      <c r="E23" s="9"/>
      <c r="F23" s="9"/>
      <c r="G23" s="9"/>
      <c r="H23" s="9"/>
      <c r="I23" s="9"/>
      <c r="J23" s="15"/>
      <c r="K23" s="16"/>
      <c r="L23" s="3"/>
      <c r="M23" s="3"/>
      <c r="N23" s="3"/>
      <c r="O23" s="331"/>
      <c r="P23" s="301"/>
      <c r="Q23" s="301"/>
      <c r="R23" s="301"/>
      <c r="S23" s="301"/>
      <c r="T23" s="301"/>
      <c r="U23" s="301"/>
      <c r="V23" s="301"/>
      <c r="W23" s="301"/>
      <c r="X23" s="301"/>
      <c r="Y23" s="3"/>
      <c r="Z23" s="3"/>
      <c r="AA23" s="3"/>
      <c r="AB23" s="3"/>
      <c r="AC23" s="3"/>
      <c r="AD23" s="5"/>
    </row>
    <row r="24" spans="1:30" ht="18.95" customHeight="1">
      <c r="A24" s="4"/>
      <c r="B24" s="3"/>
      <c r="C24" s="3"/>
      <c r="D24" s="3"/>
      <c r="E24" s="3"/>
      <c r="F24" s="3"/>
      <c r="G24" s="3"/>
      <c r="H24" s="3"/>
      <c r="I24" s="3"/>
      <c r="J24" s="536" t="s">
        <v>31</v>
      </c>
      <c r="K24" s="536"/>
      <c r="L24" s="3"/>
      <c r="M24" s="3"/>
      <c r="N24" s="3"/>
      <c r="O24" s="3"/>
      <c r="P24" s="28" t="s">
        <v>75</v>
      </c>
      <c r="Q24" s="3"/>
      <c r="R24" s="3"/>
      <c r="S24" s="3"/>
      <c r="T24" s="3"/>
      <c r="U24" s="280">
        <f>+((Q5+R5)*(S5+T5))/((Q5+R5)+(S5+T5))</f>
        <v>287.42500000000001</v>
      </c>
      <c r="V24" s="281" t="s">
        <v>7</v>
      </c>
      <c r="W24" s="3"/>
      <c r="X24" s="19"/>
      <c r="Y24" s="3"/>
      <c r="Z24" s="3"/>
      <c r="AA24" s="3"/>
      <c r="AB24" s="29"/>
      <c r="AC24" s="3"/>
      <c r="AD24" s="5"/>
    </row>
    <row r="25" spans="1:30" ht="18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01"/>
      <c r="P25" s="301"/>
      <c r="Q25" s="301"/>
      <c r="R25" s="301"/>
      <c r="S25" s="301"/>
      <c r="T25" s="3"/>
      <c r="U25" s="301"/>
      <c r="V25" s="301"/>
      <c r="W25" s="3"/>
      <c r="X25" s="3"/>
      <c r="Y25" s="3"/>
      <c r="Z25" s="3"/>
      <c r="AA25" s="3"/>
      <c r="AB25" s="3"/>
      <c r="AC25" s="3"/>
      <c r="AD25" s="5"/>
    </row>
    <row r="26" spans="1:30" ht="18.75" customHeight="1">
      <c r="A26" s="4"/>
      <c r="B26" s="19"/>
      <c r="C26" s="19"/>
      <c r="D26" s="19"/>
      <c r="E26" s="19"/>
      <c r="F26" s="321"/>
      <c r="G26" s="19"/>
      <c r="H26" s="19"/>
      <c r="I26" s="3"/>
      <c r="J26" s="280"/>
      <c r="K26" s="3"/>
      <c r="L26" s="280"/>
      <c r="M26" s="29"/>
      <c r="N26" s="29"/>
      <c r="O26" s="305"/>
      <c r="P26" s="305"/>
      <c r="Q26" s="305"/>
      <c r="R26" s="305"/>
      <c r="S26" s="305"/>
      <c r="T26" s="305"/>
      <c r="U26" s="305"/>
      <c r="V26" s="301"/>
      <c r="W26" s="301"/>
      <c r="X26" s="301"/>
      <c r="Y26" s="3"/>
      <c r="Z26" s="3"/>
      <c r="AA26" s="3"/>
      <c r="AB26" s="3"/>
      <c r="AC26" s="3"/>
      <c r="AD26" s="5"/>
    </row>
    <row r="27" spans="1:30" ht="18.75" customHeight="1">
      <c r="A27" s="4"/>
      <c r="B27" s="3"/>
      <c r="C27" s="3"/>
      <c r="D27" s="3"/>
      <c r="E27" s="3"/>
      <c r="F27" s="3"/>
      <c r="G27" s="3"/>
      <c r="H27" s="3"/>
      <c r="I27" s="19"/>
      <c r="J27" s="19"/>
      <c r="K27" s="3"/>
      <c r="L27" s="280"/>
      <c r="M27" s="29"/>
      <c r="N27" s="29"/>
      <c r="O27" s="3"/>
      <c r="P27" s="3"/>
      <c r="Q27" s="3"/>
      <c r="R27" s="3"/>
      <c r="S27" s="3"/>
      <c r="T27" s="3"/>
      <c r="U27" s="3"/>
      <c r="V27" s="308"/>
      <c r="W27" s="308"/>
      <c r="X27" s="308"/>
      <c r="Y27" s="308"/>
      <c r="Z27" s="3"/>
      <c r="AA27" s="3"/>
      <c r="AB27" s="3"/>
      <c r="AC27" s="3"/>
      <c r="AD27" s="5"/>
    </row>
    <row r="28" spans="1:30" ht="18.75" customHeight="1">
      <c r="A28" s="4"/>
      <c r="B28" s="19"/>
      <c r="C28" s="19"/>
      <c r="D28" s="19"/>
      <c r="E28" s="19"/>
      <c r="F28" s="321"/>
      <c r="G28" s="19"/>
      <c r="H28" s="19"/>
      <c r="I28" s="3"/>
      <c r="J28" s="280"/>
      <c r="K28" s="3"/>
      <c r="L28" s="280"/>
      <c r="M28" s="19"/>
      <c r="N28" s="19"/>
      <c r="O28" s="3"/>
      <c r="P28" s="3"/>
      <c r="Q28" s="3"/>
      <c r="R28" s="3"/>
      <c r="S28" s="3"/>
      <c r="T28" s="3"/>
      <c r="U28" s="3"/>
      <c r="V28" s="323"/>
      <c r="W28" s="323"/>
      <c r="X28" s="308"/>
      <c r="Y28" s="308"/>
      <c r="Z28" s="3"/>
      <c r="AA28" s="3"/>
      <c r="AB28" s="3"/>
      <c r="AC28" s="3"/>
      <c r="AD28" s="5"/>
    </row>
    <row r="29" spans="1:30" ht="18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08"/>
      <c r="W29" s="308"/>
      <c r="X29" s="308"/>
      <c r="Y29" s="308"/>
      <c r="Z29" s="3"/>
      <c r="AA29" s="3"/>
      <c r="AB29" s="3"/>
      <c r="AC29" s="3"/>
      <c r="AD29" s="5"/>
    </row>
    <row r="30" spans="1:30" ht="18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01"/>
      <c r="X30" s="301"/>
      <c r="Y30" s="3"/>
      <c r="Z30" s="3"/>
      <c r="AA30" s="3"/>
      <c r="AB30" s="3"/>
      <c r="AC30" s="3"/>
      <c r="AD30" s="5"/>
    </row>
    <row r="31" spans="1:30" ht="18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05"/>
      <c r="W31" s="7"/>
      <c r="X31" s="7"/>
      <c r="Y31" s="3"/>
      <c r="Z31" s="3"/>
      <c r="AA31" s="3"/>
      <c r="AB31" s="3"/>
      <c r="AC31" s="3"/>
      <c r="AD31" s="5"/>
    </row>
    <row r="32" spans="1:30" ht="18.75" customHeight="1">
      <c r="A32" s="4"/>
      <c r="B32" s="3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3"/>
      <c r="O32" s="324"/>
      <c r="P32" s="324"/>
      <c r="Q32" s="324"/>
      <c r="R32" s="324"/>
      <c r="S32" s="301"/>
      <c r="T32" s="306"/>
      <c r="U32" s="325"/>
      <c r="V32" s="305"/>
      <c r="W32" s="7"/>
      <c r="X32" s="7"/>
      <c r="Y32" s="280"/>
      <c r="Z32" s="280"/>
      <c r="AA32" s="3"/>
      <c r="AB32" s="3"/>
      <c r="AC32" s="3"/>
      <c r="AD32" s="5"/>
    </row>
    <row r="33" spans="1:30" ht="18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26"/>
      <c r="L33" s="3"/>
      <c r="M33" s="3"/>
      <c r="N33" s="3"/>
      <c r="O33" s="3"/>
      <c r="P33" s="3"/>
      <c r="Q33" s="3"/>
      <c r="R33" s="3"/>
      <c r="S33" s="3"/>
      <c r="T33" s="3"/>
      <c r="U33" s="17"/>
      <c r="V33" s="323"/>
      <c r="W33" s="323"/>
      <c r="X33" s="308"/>
      <c r="Y33" s="280"/>
      <c r="Z33" s="3"/>
      <c r="AA33" s="3"/>
      <c r="AB33" s="3"/>
      <c r="AC33" s="3"/>
      <c r="AD33" s="5"/>
    </row>
    <row r="34" spans="1:30" ht="18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2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5"/>
    </row>
    <row r="35" spans="1:30" ht="18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2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</row>
    <row r="36" spans="1:30" ht="18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7"/>
      <c r="W36" s="3"/>
      <c r="X36" s="3"/>
      <c r="Y36" s="3"/>
      <c r="Z36" s="3"/>
      <c r="AA36" s="3"/>
      <c r="AB36" s="3"/>
      <c r="AC36" s="3"/>
      <c r="AD36" s="5"/>
    </row>
    <row r="37" spans="1:30" ht="18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5"/>
    </row>
    <row r="38" spans="1:30" ht="18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5"/>
    </row>
    <row r="39" spans="1:30" ht="18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5"/>
    </row>
    <row r="40" spans="1:30" ht="18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5"/>
    </row>
    <row r="41" spans="1:30" ht="18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5"/>
    </row>
    <row r="42" spans="1:30" ht="18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5"/>
    </row>
    <row r="43" spans="1:30" ht="18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5"/>
    </row>
    <row r="44" spans="1:30" ht="18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5"/>
    </row>
    <row r="45" spans="1:30" ht="18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5"/>
    </row>
    <row r="46" spans="1:30" ht="18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5"/>
    </row>
    <row r="47" spans="1:30" ht="18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5"/>
    </row>
    <row r="48" spans="1:30" ht="18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5"/>
    </row>
    <row r="49" spans="1:30" ht="18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5"/>
    </row>
    <row r="50" spans="1:30" ht="18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5"/>
    </row>
    <row r="51" spans="1:30" ht="18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5"/>
    </row>
    <row r="52" spans="1:30" ht="18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5"/>
    </row>
    <row r="53" spans="1:30" ht="18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5"/>
    </row>
    <row r="54" spans="1:30" ht="18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5"/>
    </row>
    <row r="55" spans="1:30" ht="18.75" customHeight="1" thickBot="1">
      <c r="A55" s="8" t="str">
        <f>+WB!A32</f>
        <v>walter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537" t="str">
        <f>+WB!X32</f>
        <v>Reg. No. 1248</v>
      </c>
      <c r="AD55" s="538"/>
    </row>
  </sheetData>
  <mergeCells count="40">
    <mergeCell ref="P21:P22"/>
    <mergeCell ref="Q21:R22"/>
    <mergeCell ref="J24:K24"/>
    <mergeCell ref="F11:F12"/>
    <mergeCell ref="P15:Q16"/>
    <mergeCell ref="Q19:R20"/>
    <mergeCell ref="G17:H20"/>
    <mergeCell ref="M17:N20"/>
    <mergeCell ref="E19:F19"/>
    <mergeCell ref="K19:L19"/>
    <mergeCell ref="P19:P20"/>
    <mergeCell ref="E9:F9"/>
    <mergeCell ref="K9:L9"/>
    <mergeCell ref="P10:Q10"/>
    <mergeCell ref="G13:G14"/>
    <mergeCell ref="J13:K13"/>
    <mergeCell ref="N13:N14"/>
    <mergeCell ref="O13:O14"/>
    <mergeCell ref="U7:U8"/>
    <mergeCell ref="V7:V8"/>
    <mergeCell ref="S13:S14"/>
    <mergeCell ref="P14:Q14"/>
    <mergeCell ref="R13:R14"/>
    <mergeCell ref="T13:W13"/>
    <mergeCell ref="AC1:AD1"/>
    <mergeCell ref="AC55:AD55"/>
    <mergeCell ref="A1:V1"/>
    <mergeCell ref="X1:Z1"/>
    <mergeCell ref="Q4:V4"/>
    <mergeCell ref="B2:N2"/>
    <mergeCell ref="P2:V2"/>
    <mergeCell ref="X2:Z2"/>
    <mergeCell ref="J3:K3"/>
    <mergeCell ref="A11:A12"/>
    <mergeCell ref="L15:L16"/>
    <mergeCell ref="P11:Q12"/>
    <mergeCell ref="G7:H10"/>
    <mergeCell ref="M7:N10"/>
    <mergeCell ref="S7:S8"/>
    <mergeCell ref="T7:T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70"/>
  <sheetViews>
    <sheetView tabSelected="1" zoomScaleNormal="100" workbookViewId="0">
      <selection activeCell="E153" sqref="E153"/>
    </sheetView>
  </sheetViews>
  <sheetFormatPr defaultRowHeight="15.75"/>
  <cols>
    <col min="1" max="1" width="11.7109375" style="2" customWidth="1"/>
    <col min="2" max="5" width="2.7109375" style="2" customWidth="1"/>
    <col min="6" max="6" width="8.7109375" style="2" customWidth="1"/>
    <col min="7" max="8" width="2.85546875" style="2" customWidth="1"/>
    <col min="9" max="9" width="8.42578125" style="2" bestFit="1" customWidth="1"/>
    <col min="10" max="11" width="5.7109375" style="2" customWidth="1"/>
    <col min="12" max="12" width="8.7109375" style="2" customWidth="1"/>
    <col min="13" max="14" width="2.85546875" style="2" customWidth="1"/>
    <col min="15" max="15" width="16.7109375" style="2" customWidth="1"/>
    <col min="16" max="16" width="14" style="2" bestFit="1" customWidth="1"/>
    <col min="17" max="17" width="10.7109375" style="2" customWidth="1"/>
    <col min="18" max="18" width="12.7109375" style="2" customWidth="1"/>
    <col min="19" max="21" width="10.7109375" style="2" customWidth="1"/>
    <col min="22" max="22" width="12.7109375" style="2" customWidth="1"/>
    <col min="23" max="23" width="6.140625" style="2" bestFit="1" customWidth="1"/>
    <col min="24" max="24" width="16.140625" style="2" bestFit="1" customWidth="1"/>
    <col min="25" max="25" width="12.7109375" style="2" customWidth="1"/>
    <col min="26" max="26" width="14.5703125" style="2" customWidth="1"/>
    <col min="27" max="30" width="14.7109375" style="2" customWidth="1"/>
    <col min="31" max="31" width="9.140625" style="2"/>
    <col min="32" max="34" width="14.7109375" style="2" customWidth="1"/>
    <col min="35" max="16384" width="9.140625" style="2"/>
  </cols>
  <sheetData>
    <row r="1" spans="1:34" ht="25.5" customHeight="1">
      <c r="A1" s="565" t="s">
        <v>81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425"/>
      <c r="X1" s="568" t="s">
        <v>247</v>
      </c>
      <c r="Y1" s="568"/>
      <c r="Z1" s="568"/>
      <c r="AA1" s="13"/>
      <c r="AB1" s="13"/>
      <c r="AC1" s="523" t="s">
        <v>111</v>
      </c>
      <c r="AD1" s="524"/>
      <c r="AF1" s="453" t="s">
        <v>252</v>
      </c>
    </row>
    <row r="2" spans="1:34" ht="18.95" customHeight="1">
      <c r="A2" s="4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3"/>
      <c r="P2" s="560" t="s">
        <v>4</v>
      </c>
      <c r="Q2" s="560"/>
      <c r="R2" s="560"/>
      <c r="S2" s="560"/>
      <c r="T2" s="560"/>
      <c r="U2" s="560"/>
      <c r="V2" s="560"/>
      <c r="W2" s="3"/>
      <c r="X2" s="574" t="s">
        <v>83</v>
      </c>
      <c r="Y2" s="574"/>
      <c r="Z2" s="574"/>
      <c r="AA2" s="3"/>
      <c r="AB2" s="19"/>
      <c r="AC2" s="19"/>
      <c r="AD2" s="328"/>
      <c r="AE2" s="21"/>
      <c r="AF2" s="472" t="s">
        <v>253</v>
      </c>
      <c r="AG2" s="21"/>
      <c r="AH2" s="21"/>
    </row>
    <row r="3" spans="1:34" ht="18.95" customHeight="1" thickBot="1">
      <c r="A3" s="4"/>
      <c r="B3" s="3"/>
      <c r="C3" s="3"/>
      <c r="D3" s="3"/>
      <c r="E3" s="3"/>
      <c r="F3" s="3"/>
      <c r="G3" s="3"/>
      <c r="H3" s="3"/>
      <c r="I3" s="3"/>
      <c r="J3" s="564" t="s">
        <v>30</v>
      </c>
      <c r="K3" s="564"/>
      <c r="L3" s="3"/>
      <c r="M3" s="3"/>
      <c r="N3" s="3"/>
      <c r="O3" s="3"/>
      <c r="P3" s="278" t="s">
        <v>5</v>
      </c>
      <c r="Q3" s="278" t="s">
        <v>174</v>
      </c>
      <c r="R3" s="278" t="s">
        <v>175</v>
      </c>
      <c r="S3" s="278" t="s">
        <v>176</v>
      </c>
      <c r="T3" s="278" t="s">
        <v>177</v>
      </c>
      <c r="U3" s="303" t="s">
        <v>1</v>
      </c>
      <c r="V3" s="303" t="s">
        <v>2</v>
      </c>
      <c r="W3" s="3"/>
      <c r="X3" s="446" t="s">
        <v>42</v>
      </c>
      <c r="Y3" s="451">
        <v>1000</v>
      </c>
      <c r="Z3" s="447" t="s">
        <v>89</v>
      </c>
      <c r="AA3" s="280" t="s">
        <v>88</v>
      </c>
      <c r="AB3" s="455" t="s">
        <v>250</v>
      </c>
      <c r="AC3" s="3"/>
      <c r="AD3" s="329"/>
      <c r="AF3" s="10"/>
      <c r="AG3" s="10"/>
      <c r="AH3" s="22"/>
    </row>
    <row r="4" spans="1:34" ht="18.95" customHeight="1" thickBot="1">
      <c r="A4" s="4"/>
      <c r="B4" s="3"/>
      <c r="C4" s="3"/>
      <c r="D4" s="12"/>
      <c r="E4" s="13"/>
      <c r="F4" s="13"/>
      <c r="G4" s="13"/>
      <c r="H4" s="13"/>
      <c r="I4" s="13"/>
      <c r="J4" s="14"/>
      <c r="K4" s="16"/>
      <c r="L4" s="3"/>
      <c r="M4" s="3"/>
      <c r="N4" s="3"/>
      <c r="O4" s="3"/>
      <c r="P4" s="278" t="s">
        <v>6</v>
      </c>
      <c r="Q4" s="560" t="s">
        <v>13</v>
      </c>
      <c r="R4" s="560"/>
      <c r="S4" s="560"/>
      <c r="T4" s="560"/>
      <c r="U4" s="560"/>
      <c r="V4" s="560"/>
      <c r="W4" s="3"/>
      <c r="X4" s="446" t="s">
        <v>229</v>
      </c>
      <c r="Y4" s="451">
        <v>750.5</v>
      </c>
      <c r="Z4" s="447" t="s">
        <v>7</v>
      </c>
      <c r="AA4" s="3"/>
      <c r="AB4" s="3"/>
      <c r="AC4" s="3"/>
      <c r="AD4" s="329"/>
      <c r="AF4" s="10" t="s">
        <v>255</v>
      </c>
      <c r="AG4" s="10" t="s">
        <v>256</v>
      </c>
      <c r="AH4" s="22"/>
    </row>
    <row r="5" spans="1:34" ht="18.95" customHeight="1">
      <c r="A5" s="4"/>
      <c r="B5" s="3"/>
      <c r="C5" s="3"/>
      <c r="D5" s="4"/>
      <c r="E5" s="3"/>
      <c r="F5" s="3"/>
      <c r="G5" s="3"/>
      <c r="H5" s="12"/>
      <c r="I5" s="13"/>
      <c r="J5" s="13"/>
      <c r="K5" s="13"/>
      <c r="L5" s="13"/>
      <c r="M5" s="14"/>
      <c r="N5" s="4"/>
      <c r="O5" s="3"/>
      <c r="P5" s="332">
        <v>5</v>
      </c>
      <c r="Q5" s="304">
        <f>+Y4</f>
        <v>750.5</v>
      </c>
      <c r="R5" s="304">
        <f>+Y5</f>
        <v>749.6</v>
      </c>
      <c r="S5" s="304">
        <f>+Y6</f>
        <v>750.5</v>
      </c>
      <c r="T5" s="304">
        <f>+Y7</f>
        <v>749.6</v>
      </c>
      <c r="U5" s="333">
        <v>10000</v>
      </c>
      <c r="V5" s="471">
        <f>+U5</f>
        <v>10000</v>
      </c>
      <c r="W5" s="3"/>
      <c r="X5" s="446" t="s">
        <v>230</v>
      </c>
      <c r="Y5" s="451">
        <v>749.6</v>
      </c>
      <c r="Z5" s="447" t="s">
        <v>7</v>
      </c>
      <c r="AA5" s="3"/>
      <c r="AB5" s="3"/>
      <c r="AC5" s="3"/>
      <c r="AD5" s="5"/>
      <c r="AF5" s="10"/>
      <c r="AG5" s="10" t="s">
        <v>257</v>
      </c>
      <c r="AH5" s="22"/>
    </row>
    <row r="6" spans="1:34" ht="18.95" customHeight="1" thickBot="1">
      <c r="A6" s="4"/>
      <c r="B6" s="3"/>
      <c r="C6" s="3"/>
      <c r="D6" s="4"/>
      <c r="E6" s="3"/>
      <c r="F6" s="3"/>
      <c r="G6" s="3"/>
      <c r="H6" s="4"/>
      <c r="I6" s="3"/>
      <c r="J6" s="3"/>
      <c r="K6" s="3"/>
      <c r="L6" s="3"/>
      <c r="M6" s="3"/>
      <c r="N6" s="4"/>
      <c r="O6" s="3"/>
      <c r="P6" s="3"/>
      <c r="Q6" s="3"/>
      <c r="R6" s="3"/>
      <c r="S6" s="3"/>
      <c r="T6" s="3"/>
      <c r="U6" s="3"/>
      <c r="V6" s="3"/>
      <c r="W6" s="3"/>
      <c r="X6" s="446" t="s">
        <v>231</v>
      </c>
      <c r="Y6" s="451">
        <v>750.5</v>
      </c>
      <c r="Z6" s="447" t="s">
        <v>7</v>
      </c>
      <c r="AA6" s="3"/>
      <c r="AB6" s="3"/>
      <c r="AC6" s="3"/>
      <c r="AD6" s="329"/>
      <c r="AF6" s="10"/>
      <c r="AG6" s="10" t="s">
        <v>258</v>
      </c>
      <c r="AH6" s="22"/>
    </row>
    <row r="7" spans="1:34" ht="18.95" customHeight="1">
      <c r="A7" s="4"/>
      <c r="B7" s="3"/>
      <c r="C7" s="3"/>
      <c r="D7" s="4"/>
      <c r="E7" s="3"/>
      <c r="F7" s="283"/>
      <c r="G7" s="545" t="str">
        <f>+Q3</f>
        <v>RSG1</v>
      </c>
      <c r="H7" s="546"/>
      <c r="I7" s="3"/>
      <c r="J7" s="3"/>
      <c r="K7" s="3"/>
      <c r="L7" s="282"/>
      <c r="M7" s="545" t="str">
        <f>+S3</f>
        <v>RSG3</v>
      </c>
      <c r="N7" s="546"/>
      <c r="O7" s="18"/>
      <c r="P7" s="280"/>
      <c r="Q7" s="280"/>
      <c r="R7" s="3"/>
      <c r="S7" s="561">
        <f>((R5/(Q5+R5))-(T5/(S5+T5)))*P5</f>
        <v>0</v>
      </c>
      <c r="T7" s="554" t="s">
        <v>6</v>
      </c>
      <c r="U7" s="562">
        <f>ROUND(S7*1000,2)</f>
        <v>0</v>
      </c>
      <c r="V7" s="563" t="s">
        <v>24</v>
      </c>
      <c r="W7" s="3"/>
      <c r="X7" s="446" t="s">
        <v>232</v>
      </c>
      <c r="Y7" s="451">
        <v>749.6</v>
      </c>
      <c r="Z7" s="447" t="s">
        <v>7</v>
      </c>
      <c r="AA7" s="3"/>
      <c r="AB7" s="3"/>
      <c r="AC7" s="3"/>
      <c r="AD7" s="329"/>
      <c r="AF7" s="10"/>
      <c r="AG7" s="10"/>
      <c r="AH7" s="22"/>
    </row>
    <row r="8" spans="1:34" ht="18.95" customHeight="1">
      <c r="A8" s="430"/>
      <c r="B8" s="280"/>
      <c r="C8" s="280"/>
      <c r="D8" s="279"/>
      <c r="E8" s="280"/>
      <c r="F8" s="280"/>
      <c r="G8" s="547"/>
      <c r="H8" s="548"/>
      <c r="I8" s="3"/>
      <c r="J8" s="3"/>
      <c r="K8" s="3"/>
      <c r="L8" s="280"/>
      <c r="M8" s="547"/>
      <c r="N8" s="548"/>
      <c r="O8" s="301"/>
      <c r="P8" s="301"/>
      <c r="Q8" s="301"/>
      <c r="R8" s="301"/>
      <c r="S8" s="561"/>
      <c r="T8" s="554"/>
      <c r="U8" s="562"/>
      <c r="V8" s="563"/>
      <c r="W8" s="301"/>
      <c r="X8" s="448" t="s">
        <v>233</v>
      </c>
      <c r="Y8" s="451">
        <v>1000</v>
      </c>
      <c r="Z8" s="447" t="s">
        <v>89</v>
      </c>
      <c r="AA8" s="280" t="s">
        <v>90</v>
      </c>
      <c r="AB8" s="456" t="s">
        <v>251</v>
      </c>
      <c r="AC8" s="3"/>
      <c r="AD8" s="329"/>
      <c r="AF8" s="20"/>
      <c r="AG8" s="10"/>
      <c r="AH8" s="22"/>
    </row>
    <row r="9" spans="1:34" ht="18.95" customHeight="1">
      <c r="A9" s="430"/>
      <c r="B9" s="280"/>
      <c r="C9" s="280"/>
      <c r="D9" s="279"/>
      <c r="E9" s="551">
        <f>+Q5</f>
        <v>750.5</v>
      </c>
      <c r="F9" s="552"/>
      <c r="G9" s="547"/>
      <c r="H9" s="548"/>
      <c r="I9" s="3"/>
      <c r="J9" s="3"/>
      <c r="K9" s="551">
        <f>+S5</f>
        <v>750.5</v>
      </c>
      <c r="L9" s="552"/>
      <c r="M9" s="547"/>
      <c r="N9" s="548"/>
      <c r="O9" s="301"/>
      <c r="P9" s="301"/>
      <c r="Q9" s="301"/>
      <c r="R9" s="301"/>
      <c r="S9" s="301"/>
      <c r="T9" s="305"/>
      <c r="U9" s="305"/>
      <c r="V9" s="306"/>
      <c r="W9" s="305"/>
      <c r="X9" s="448" t="s">
        <v>220</v>
      </c>
      <c r="Y9" s="452" t="s">
        <v>249</v>
      </c>
      <c r="Z9" s="469" t="s">
        <v>221</v>
      </c>
      <c r="AA9" s="3"/>
      <c r="AB9" s="3"/>
      <c r="AC9" s="3"/>
      <c r="AD9" s="5"/>
    </row>
    <row r="10" spans="1:34" ht="18.95" customHeight="1" thickBot="1">
      <c r="A10" s="4"/>
      <c r="B10" s="3"/>
      <c r="C10" s="3"/>
      <c r="D10" s="4"/>
      <c r="E10" s="3"/>
      <c r="F10" s="3"/>
      <c r="G10" s="549"/>
      <c r="H10" s="550"/>
      <c r="I10" s="3"/>
      <c r="J10" s="3"/>
      <c r="K10" s="3"/>
      <c r="L10" s="3"/>
      <c r="M10" s="549"/>
      <c r="N10" s="550"/>
      <c r="O10" s="301"/>
      <c r="P10" s="557">
        <f>+U5</f>
        <v>10000</v>
      </c>
      <c r="Q10" s="557"/>
      <c r="R10" s="301"/>
      <c r="S10" s="301"/>
      <c r="T10" s="305"/>
      <c r="U10" s="305"/>
      <c r="V10" s="306"/>
      <c r="W10" s="305"/>
      <c r="X10" s="448" t="s">
        <v>254</v>
      </c>
      <c r="Y10" s="449">
        <v>60</v>
      </c>
      <c r="Z10" s="450" t="s">
        <v>223</v>
      </c>
      <c r="AA10" s="323"/>
      <c r="AB10" s="3"/>
      <c r="AC10" s="3"/>
      <c r="AD10" s="5"/>
    </row>
    <row r="11" spans="1:34" ht="12" customHeight="1" thickBot="1">
      <c r="A11" s="558" t="str">
        <f>CONCATENATE(AA3,Y3,Z3)</f>
        <v>Zin 1000 Ω</v>
      </c>
      <c r="B11" s="3"/>
      <c r="C11" s="3"/>
      <c r="D11" s="4"/>
      <c r="E11" s="3"/>
      <c r="F11" s="559" t="s">
        <v>33</v>
      </c>
      <c r="G11" s="3"/>
      <c r="H11" s="12"/>
      <c r="I11" s="3"/>
      <c r="J11" s="3"/>
      <c r="K11" s="3"/>
      <c r="L11" s="3"/>
      <c r="M11" s="3"/>
      <c r="N11" s="12"/>
      <c r="O11" s="308"/>
      <c r="P11" s="540" t="str">
        <f>+U3</f>
        <v>R1</v>
      </c>
      <c r="Q11" s="541"/>
      <c r="R11" s="301"/>
      <c r="S11" s="301"/>
      <c r="T11" s="305"/>
      <c r="U11" s="305"/>
      <c r="V11" s="305"/>
      <c r="W11" s="305"/>
      <c r="X11" s="305"/>
      <c r="Y11" s="3"/>
      <c r="Z11" s="3"/>
      <c r="AA11" s="3"/>
      <c r="AB11" s="3"/>
      <c r="AC11" s="3"/>
      <c r="AD11" s="5"/>
    </row>
    <row r="12" spans="1:34" ht="12" customHeight="1" thickBot="1">
      <c r="A12" s="558"/>
      <c r="B12" s="3"/>
      <c r="C12" s="3"/>
      <c r="D12" s="4"/>
      <c r="E12" s="3"/>
      <c r="F12" s="559"/>
      <c r="G12" s="3"/>
      <c r="H12" s="12"/>
      <c r="I12" s="13"/>
      <c r="J12" s="13"/>
      <c r="K12" s="13"/>
      <c r="L12" s="13"/>
      <c r="M12" s="13"/>
      <c r="N12" s="12"/>
      <c r="O12" s="309"/>
      <c r="P12" s="542"/>
      <c r="Q12" s="543"/>
      <c r="R12" s="313"/>
      <c r="S12" s="314"/>
      <c r="T12" s="307"/>
      <c r="U12" s="307"/>
      <c r="V12" s="307"/>
      <c r="W12" s="426"/>
      <c r="X12" s="426"/>
      <c r="Y12" s="3"/>
      <c r="Z12" s="3"/>
      <c r="AA12" s="3"/>
      <c r="AB12" s="3"/>
      <c r="AC12" s="3"/>
      <c r="AD12" s="5"/>
    </row>
    <row r="13" spans="1:34" ht="18.95" customHeight="1" thickBot="1">
      <c r="A13" s="279" t="s">
        <v>5</v>
      </c>
      <c r="B13" s="3"/>
      <c r="C13" s="3"/>
      <c r="D13" s="4"/>
      <c r="E13" s="3"/>
      <c r="F13" s="322"/>
      <c r="G13" s="553"/>
      <c r="H13" s="4"/>
      <c r="I13" s="30">
        <f>+ROUND(A14/(E9+E19)*E19,4)</f>
        <v>2.4984999999999999</v>
      </c>
      <c r="J13" s="554" t="s">
        <v>6</v>
      </c>
      <c r="K13" s="554"/>
      <c r="L13" s="30">
        <f>+ROUND(A14/(K9+K19)*K19,4)</f>
        <v>2.4984999999999999</v>
      </c>
      <c r="M13" s="3"/>
      <c r="N13" s="555"/>
      <c r="O13" s="554" t="str">
        <f>CONCATENATE(AA8,Y8,Z8)</f>
        <v>Zout 1000 Ω</v>
      </c>
      <c r="P13" s="301"/>
      <c r="Q13" s="301"/>
      <c r="R13" s="534" t="str">
        <f>CONCATENATE(U7,V7)</f>
        <v>0 mV</v>
      </c>
      <c r="S13" s="534" t="s">
        <v>12</v>
      </c>
      <c r="T13" s="544" t="s">
        <v>260</v>
      </c>
      <c r="U13" s="544"/>
      <c r="V13" s="544"/>
      <c r="W13" s="544"/>
      <c r="X13" s="301"/>
      <c r="Y13" s="19"/>
      <c r="Z13" s="19"/>
      <c r="AA13" s="19"/>
      <c r="AB13" s="19"/>
      <c r="AC13" s="19"/>
      <c r="AD13" s="5"/>
    </row>
    <row r="14" spans="1:34" ht="18.95" customHeight="1" thickBot="1">
      <c r="A14" s="330">
        <f>+P5</f>
        <v>5</v>
      </c>
      <c r="B14" s="9"/>
      <c r="C14" s="11"/>
      <c r="D14" s="11"/>
      <c r="E14" s="9"/>
      <c r="F14" s="3"/>
      <c r="G14" s="553"/>
      <c r="H14" s="4"/>
      <c r="I14" s="3"/>
      <c r="J14" s="19"/>
      <c r="K14" s="19"/>
      <c r="L14" s="3"/>
      <c r="M14" s="3"/>
      <c r="N14" s="555"/>
      <c r="O14" s="554"/>
      <c r="P14" s="556">
        <f>+V5</f>
        <v>10000</v>
      </c>
      <c r="Q14" s="556"/>
      <c r="R14" s="534"/>
      <c r="S14" s="534"/>
      <c r="T14" s="305" t="s">
        <v>261</v>
      </c>
      <c r="U14" s="474">
        <f>+WB!$T$29</f>
        <v>500.00000077924778</v>
      </c>
      <c r="V14" s="475" t="s">
        <v>17</v>
      </c>
      <c r="W14" s="301"/>
      <c r="X14" s="301"/>
      <c r="Y14" s="3"/>
      <c r="Z14" s="3"/>
      <c r="AA14" s="3"/>
      <c r="AB14" s="3"/>
      <c r="AC14" s="3"/>
      <c r="AD14" s="5"/>
    </row>
    <row r="15" spans="1:34" ht="12" customHeight="1" thickBot="1">
      <c r="A15" s="279"/>
      <c r="B15" s="3"/>
      <c r="C15" s="14"/>
      <c r="D15" s="3"/>
      <c r="E15" s="3"/>
      <c r="F15" s="3"/>
      <c r="G15" s="16"/>
      <c r="H15" s="4"/>
      <c r="I15" s="3"/>
      <c r="J15" s="19"/>
      <c r="K15" s="19"/>
      <c r="L15" s="539" t="s">
        <v>32</v>
      </c>
      <c r="M15" s="3"/>
      <c r="N15" s="310"/>
      <c r="O15" s="301"/>
      <c r="P15" s="540" t="str">
        <f>+V3</f>
        <v>R2</v>
      </c>
      <c r="Q15" s="541"/>
      <c r="R15" s="307"/>
      <c r="S15" s="307"/>
      <c r="T15" s="307"/>
      <c r="U15" s="301"/>
      <c r="V15" s="301"/>
      <c r="W15" s="301"/>
      <c r="X15" s="301"/>
      <c r="Y15" s="3"/>
      <c r="Z15" s="3"/>
      <c r="AA15" s="3"/>
      <c r="AB15" s="3"/>
      <c r="AC15" s="3"/>
      <c r="AD15" s="5"/>
    </row>
    <row r="16" spans="1:34" ht="12" customHeight="1" thickBot="1">
      <c r="A16" s="279"/>
      <c r="B16" s="3"/>
      <c r="C16" s="3"/>
      <c r="D16" s="4"/>
      <c r="E16" s="3"/>
      <c r="F16" s="3"/>
      <c r="G16" s="3"/>
      <c r="H16" s="8"/>
      <c r="I16" s="3"/>
      <c r="J16" s="3"/>
      <c r="K16" s="3"/>
      <c r="L16" s="539"/>
      <c r="M16" s="3"/>
      <c r="N16" s="311"/>
      <c r="O16" s="312"/>
      <c r="P16" s="542"/>
      <c r="Q16" s="543"/>
      <c r="R16" s="313"/>
      <c r="S16" s="314"/>
      <c r="T16" s="307"/>
      <c r="U16" s="301"/>
      <c r="V16" s="301"/>
      <c r="W16" s="301"/>
      <c r="X16" s="301"/>
      <c r="Y16" s="3"/>
      <c r="Z16" s="3"/>
      <c r="AA16" s="3"/>
      <c r="AB16" s="3"/>
      <c r="AC16" s="3"/>
      <c r="AD16" s="5"/>
    </row>
    <row r="17" spans="1:30" ht="18.95" customHeight="1">
      <c r="A17" s="4"/>
      <c r="B17" s="3"/>
      <c r="C17" s="3"/>
      <c r="D17" s="4"/>
      <c r="E17" s="3"/>
      <c r="F17" s="282"/>
      <c r="G17" s="545" t="str">
        <f>+R3</f>
        <v>RSG2</v>
      </c>
      <c r="H17" s="546"/>
      <c r="I17" s="3"/>
      <c r="J17" s="3"/>
      <c r="K17" s="3"/>
      <c r="L17" s="283"/>
      <c r="M17" s="545" t="str">
        <f>+T3</f>
        <v>RSG4</v>
      </c>
      <c r="N17" s="546"/>
      <c r="O17" s="301"/>
      <c r="P17" s="315"/>
      <c r="Q17" s="315"/>
      <c r="R17" s="305"/>
      <c r="S17" s="305"/>
      <c r="T17" s="305"/>
      <c r="U17" s="301"/>
      <c r="V17" s="301"/>
      <c r="W17" s="301"/>
      <c r="X17" s="301"/>
      <c r="Y17" s="3"/>
      <c r="Z17" s="3"/>
      <c r="AA17" s="3"/>
      <c r="AB17" s="3"/>
      <c r="AC17" s="3"/>
      <c r="AD17" s="5"/>
    </row>
    <row r="18" spans="1:30" ht="18.95" customHeight="1">
      <c r="A18" s="4"/>
      <c r="B18" s="3"/>
      <c r="C18" s="3"/>
      <c r="D18" s="4"/>
      <c r="E18" s="3"/>
      <c r="F18" s="280"/>
      <c r="G18" s="547"/>
      <c r="H18" s="548"/>
      <c r="I18" s="3"/>
      <c r="J18" s="3"/>
      <c r="K18" s="3"/>
      <c r="L18" s="280"/>
      <c r="M18" s="547"/>
      <c r="N18" s="548"/>
      <c r="O18" s="301"/>
      <c r="P18" s="305"/>
      <c r="Q18" s="305"/>
      <c r="R18" s="305"/>
      <c r="S18" s="305"/>
      <c r="T18" s="305"/>
      <c r="U18" s="305"/>
      <c r="V18" s="308" t="s">
        <v>63</v>
      </c>
      <c r="W18" s="301"/>
      <c r="X18" s="301"/>
      <c r="Y18" s="3"/>
      <c r="Z18" s="3"/>
      <c r="AA18" s="3"/>
      <c r="AB18" s="3"/>
      <c r="AC18" s="3"/>
      <c r="AD18" s="5"/>
    </row>
    <row r="19" spans="1:30" ht="18.95" customHeight="1">
      <c r="A19" s="4"/>
      <c r="B19" s="3"/>
      <c r="C19" s="3"/>
      <c r="D19" s="4"/>
      <c r="E19" s="551">
        <f>+R5</f>
        <v>749.6</v>
      </c>
      <c r="F19" s="552"/>
      <c r="G19" s="547"/>
      <c r="H19" s="548"/>
      <c r="I19" s="3"/>
      <c r="J19" s="3"/>
      <c r="K19" s="551">
        <f>+T5</f>
        <v>749.6</v>
      </c>
      <c r="L19" s="552"/>
      <c r="M19" s="547"/>
      <c r="N19" s="548"/>
      <c r="O19" s="301"/>
      <c r="P19" s="570" t="s">
        <v>34</v>
      </c>
      <c r="Q19" s="534" t="s">
        <v>35</v>
      </c>
      <c r="R19" s="535"/>
      <c r="S19" s="316" t="s">
        <v>36</v>
      </c>
      <c r="T19" s="316" t="s">
        <v>37</v>
      </c>
      <c r="U19" s="473">
        <f>(S20*T20)/(S20+T20)</f>
        <v>750.05</v>
      </c>
      <c r="V19" s="308">
        <f>+Y3</f>
        <v>1000</v>
      </c>
      <c r="W19" s="301"/>
      <c r="X19" s="301"/>
      <c r="Y19" s="3"/>
      <c r="Z19" s="3"/>
      <c r="AA19" s="3"/>
      <c r="AB19" s="3"/>
      <c r="AC19" s="3"/>
      <c r="AD19" s="5"/>
    </row>
    <row r="20" spans="1:30" ht="18.95" customHeight="1" thickBot="1">
      <c r="A20" s="4"/>
      <c r="B20" s="3"/>
      <c r="C20" s="3"/>
      <c r="D20" s="4"/>
      <c r="E20" s="3"/>
      <c r="F20" s="3"/>
      <c r="G20" s="549"/>
      <c r="H20" s="550"/>
      <c r="I20" s="3"/>
      <c r="J20" s="3"/>
      <c r="K20" s="3"/>
      <c r="L20" s="3"/>
      <c r="M20" s="549"/>
      <c r="N20" s="550"/>
      <c r="O20" s="301"/>
      <c r="P20" s="570"/>
      <c r="Q20" s="534"/>
      <c r="R20" s="535"/>
      <c r="S20" s="317">
        <f>+Q5+R5</f>
        <v>1500.1</v>
      </c>
      <c r="T20" s="317">
        <f>S5+T5</f>
        <v>1500.1</v>
      </c>
      <c r="U20" s="301"/>
      <c r="V20" s="308"/>
      <c r="W20" s="301"/>
      <c r="X20" s="301"/>
      <c r="Y20" s="3"/>
      <c r="Z20" s="3"/>
      <c r="AA20" s="3"/>
      <c r="AB20" s="3"/>
      <c r="AC20" s="3"/>
      <c r="AD20" s="5"/>
    </row>
    <row r="21" spans="1:30" ht="18.95" customHeight="1">
      <c r="A21" s="4"/>
      <c r="B21" s="3"/>
      <c r="C21" s="3"/>
      <c r="D21" s="4"/>
      <c r="E21" s="3"/>
      <c r="F21" s="3"/>
      <c r="G21" s="3"/>
      <c r="H21" s="4"/>
      <c r="I21" s="3"/>
      <c r="J21" s="3"/>
      <c r="K21" s="3"/>
      <c r="L21" s="3"/>
      <c r="M21" s="3"/>
      <c r="N21" s="4"/>
      <c r="O21" s="301"/>
      <c r="P21" s="569" t="s">
        <v>38</v>
      </c>
      <c r="Q21" s="534" t="s">
        <v>39</v>
      </c>
      <c r="R21" s="535"/>
      <c r="S21" s="316" t="s">
        <v>40</v>
      </c>
      <c r="T21" s="316" t="s">
        <v>41</v>
      </c>
      <c r="U21" s="305"/>
      <c r="V21" s="308"/>
      <c r="W21" s="319"/>
      <c r="X21" s="301"/>
      <c r="Y21" s="3"/>
      <c r="Z21" s="3"/>
      <c r="AA21" s="3"/>
      <c r="AB21" s="3"/>
      <c r="AC21" s="3"/>
      <c r="AD21" s="5"/>
    </row>
    <row r="22" spans="1:30" ht="18.95" customHeight="1" thickBot="1">
      <c r="A22" s="4"/>
      <c r="B22" s="3"/>
      <c r="C22" s="3"/>
      <c r="D22" s="4"/>
      <c r="E22" s="3"/>
      <c r="F22" s="3"/>
      <c r="G22" s="3"/>
      <c r="H22" s="8"/>
      <c r="I22" s="9"/>
      <c r="J22" s="9"/>
      <c r="K22" s="9"/>
      <c r="L22" s="9"/>
      <c r="M22" s="15"/>
      <c r="N22" s="4"/>
      <c r="O22" s="301"/>
      <c r="P22" s="569"/>
      <c r="Q22" s="534"/>
      <c r="R22" s="535"/>
      <c r="S22" s="476">
        <f>Q5+S5</f>
        <v>1501</v>
      </c>
      <c r="T22" s="317">
        <f>R5+T5</f>
        <v>1499.2</v>
      </c>
      <c r="U22" s="473">
        <f>(S22*T22)/(S22+T22)</f>
        <v>750.04973001799885</v>
      </c>
      <c r="V22" s="320">
        <f>+Y8</f>
        <v>1000</v>
      </c>
      <c r="W22" s="305"/>
      <c r="X22" s="301"/>
      <c r="Y22" s="3"/>
      <c r="Z22" s="3"/>
      <c r="AA22" s="3"/>
      <c r="AB22" s="3"/>
      <c r="AC22" s="3"/>
      <c r="AD22" s="5"/>
    </row>
    <row r="23" spans="1:30" ht="18.95" customHeight="1" thickBot="1">
      <c r="A23" s="4"/>
      <c r="B23" s="3"/>
      <c r="C23" s="3"/>
      <c r="D23" s="8"/>
      <c r="E23" s="9"/>
      <c r="F23" s="9"/>
      <c r="G23" s="9"/>
      <c r="H23" s="9"/>
      <c r="I23" s="9"/>
      <c r="J23" s="15"/>
      <c r="K23" s="16"/>
      <c r="L23" s="3"/>
      <c r="M23" s="3"/>
      <c r="N23" s="3"/>
      <c r="O23" s="331"/>
      <c r="P23" s="301"/>
      <c r="Q23" s="301"/>
      <c r="R23" s="301"/>
      <c r="S23" s="301"/>
      <c r="T23" s="301"/>
      <c r="U23" s="301"/>
      <c r="V23" s="301"/>
      <c r="W23" s="301"/>
      <c r="X23" s="301"/>
      <c r="Y23" s="3"/>
      <c r="Z23" s="3"/>
      <c r="AA23" s="3"/>
      <c r="AB23" s="3"/>
      <c r="AC23" s="3"/>
      <c r="AD23" s="5"/>
    </row>
    <row r="24" spans="1:30" ht="18.95" customHeight="1">
      <c r="A24" s="4"/>
      <c r="B24" s="3"/>
      <c r="C24" s="3"/>
      <c r="D24" s="3"/>
      <c r="E24" s="3"/>
      <c r="F24" s="3"/>
      <c r="G24" s="3"/>
      <c r="H24" s="3"/>
      <c r="I24" s="3"/>
      <c r="J24" s="536" t="s">
        <v>31</v>
      </c>
      <c r="K24" s="536"/>
      <c r="L24" s="3"/>
      <c r="M24" s="3"/>
      <c r="N24" s="3"/>
      <c r="O24" s="3"/>
      <c r="P24" s="28" t="s">
        <v>75</v>
      </c>
      <c r="Q24" s="3"/>
      <c r="R24" s="3"/>
      <c r="S24" s="3"/>
      <c r="T24" s="3"/>
      <c r="U24" s="468">
        <f>+((Q5+R5)*(S5+T5))/((Q5+R5)+(S5+T5))</f>
        <v>750.05</v>
      </c>
      <c r="V24" s="281" t="s">
        <v>7</v>
      </c>
      <c r="W24" s="3"/>
      <c r="X24" s="19"/>
      <c r="Y24" s="3"/>
      <c r="Z24" s="3"/>
      <c r="AA24" s="3"/>
      <c r="AB24" s="29"/>
      <c r="AC24" s="3"/>
      <c r="AD24" s="5"/>
    </row>
    <row r="25" spans="1:30" ht="18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01"/>
      <c r="P25" s="301"/>
      <c r="Q25" s="301"/>
      <c r="R25" s="301"/>
      <c r="S25" s="301"/>
      <c r="T25" s="3"/>
      <c r="U25" s="301"/>
      <c r="V25" s="301"/>
      <c r="W25" s="3"/>
      <c r="X25" s="3"/>
      <c r="Y25" s="3"/>
      <c r="Z25" s="3"/>
      <c r="AA25" s="3"/>
      <c r="AB25" s="3"/>
      <c r="AC25" s="3"/>
      <c r="AD25" s="5"/>
    </row>
    <row r="26" spans="1:30" ht="18.75" customHeight="1">
      <c r="A26" s="4"/>
      <c r="B26" s="19"/>
      <c r="C26" s="19"/>
      <c r="D26" s="19"/>
      <c r="E26" s="19"/>
      <c r="F26" s="321"/>
      <c r="G26" s="19"/>
      <c r="H26" s="19"/>
      <c r="I26" s="3"/>
      <c r="J26" s="280"/>
      <c r="K26" s="3"/>
      <c r="L26" s="280"/>
      <c r="M26" s="29"/>
      <c r="N26" s="29"/>
      <c r="O26" s="305"/>
      <c r="P26" s="305"/>
      <c r="Q26" s="305"/>
      <c r="R26" s="305"/>
      <c r="S26" s="305"/>
      <c r="T26" s="305"/>
      <c r="U26" s="305"/>
      <c r="V26" s="301"/>
      <c r="W26" s="301"/>
      <c r="X26" s="301"/>
      <c r="Y26" s="3"/>
      <c r="Z26" s="3"/>
      <c r="AA26" s="3"/>
      <c r="AB26" s="3"/>
      <c r="AC26" s="3"/>
      <c r="AD26" s="5"/>
    </row>
    <row r="27" spans="1:30" ht="18.75" customHeight="1">
      <c r="A27" s="4"/>
      <c r="B27" s="3"/>
      <c r="C27" s="3"/>
      <c r="D27" s="3"/>
      <c r="E27" s="3"/>
      <c r="F27" s="3"/>
      <c r="G27" s="3"/>
      <c r="H27" s="3"/>
      <c r="I27" s="19"/>
      <c r="J27" s="19"/>
      <c r="K27" s="3"/>
      <c r="L27" s="280"/>
      <c r="M27" s="29"/>
      <c r="N27" s="29"/>
      <c r="O27" s="3"/>
      <c r="P27" s="3"/>
      <c r="Q27" s="3"/>
      <c r="R27" s="3"/>
      <c r="S27" s="3"/>
      <c r="T27" s="3"/>
      <c r="U27" s="3"/>
      <c r="V27" s="308"/>
      <c r="W27" s="428"/>
      <c r="X27" s="428"/>
      <c r="Y27" s="428"/>
      <c r="Z27" s="3"/>
      <c r="AA27" s="3"/>
      <c r="AB27" s="3"/>
      <c r="AC27" s="3"/>
      <c r="AD27" s="5"/>
    </row>
    <row r="28" spans="1:30" ht="18.75" customHeight="1">
      <c r="A28" s="4"/>
      <c r="B28" s="19"/>
      <c r="C28" s="19"/>
      <c r="D28" s="19"/>
      <c r="E28" s="19"/>
      <c r="F28" s="321"/>
      <c r="G28" s="19"/>
      <c r="H28" s="19"/>
      <c r="I28" s="3"/>
      <c r="J28" s="280"/>
      <c r="K28" s="3"/>
      <c r="L28" s="280"/>
      <c r="M28" s="19"/>
      <c r="N28" s="19"/>
      <c r="O28" s="3"/>
      <c r="P28" s="3"/>
      <c r="Q28" s="3"/>
      <c r="R28" s="3"/>
      <c r="S28" s="3"/>
      <c r="T28" s="3"/>
      <c r="U28" s="3"/>
      <c r="V28" s="323"/>
      <c r="W28" s="323"/>
      <c r="X28" s="428"/>
      <c r="Y28" s="428"/>
      <c r="Z28" s="3"/>
      <c r="AA28" s="3"/>
      <c r="AB28" s="3"/>
      <c r="AC28" s="3"/>
      <c r="AD28" s="5"/>
    </row>
    <row r="29" spans="1:30" ht="18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08"/>
      <c r="W29" s="428"/>
      <c r="X29" s="428"/>
      <c r="Y29" s="428"/>
      <c r="Z29" s="3"/>
      <c r="AA29" s="3"/>
      <c r="AB29" s="3"/>
      <c r="AC29" s="3"/>
      <c r="AD29" s="5"/>
    </row>
    <row r="30" spans="1:30" ht="18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01"/>
      <c r="X30" s="301"/>
      <c r="Y30" s="3"/>
      <c r="Z30" s="3"/>
      <c r="AA30" s="3"/>
      <c r="AB30" s="3"/>
      <c r="AC30" s="3"/>
      <c r="AD30" s="5"/>
    </row>
    <row r="31" spans="1:30" ht="18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05"/>
      <c r="W31" s="7"/>
      <c r="X31" s="7"/>
      <c r="Y31" s="3"/>
      <c r="Z31" s="3"/>
      <c r="AA31" s="3"/>
      <c r="AB31" s="3"/>
      <c r="AC31" s="3"/>
      <c r="AD31" s="5"/>
    </row>
    <row r="32" spans="1:30" ht="18.75" customHeight="1">
      <c r="A32" s="4"/>
      <c r="B32" s="3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3"/>
      <c r="O32" s="324"/>
      <c r="P32" s="324"/>
      <c r="Q32" s="324"/>
      <c r="R32" s="324"/>
      <c r="S32" s="301"/>
      <c r="T32" s="306"/>
      <c r="U32" s="325"/>
      <c r="V32" s="305"/>
      <c r="W32" s="7"/>
      <c r="X32" s="7"/>
      <c r="Y32" s="427"/>
      <c r="Z32" s="427"/>
      <c r="AA32" s="3"/>
      <c r="AB32" s="3"/>
      <c r="AC32" s="3"/>
      <c r="AD32" s="5"/>
    </row>
    <row r="33" spans="1:30" ht="18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26"/>
      <c r="L33" s="3"/>
      <c r="M33" s="3"/>
      <c r="N33" s="3"/>
      <c r="O33" s="3"/>
      <c r="P33" s="3"/>
      <c r="Q33" s="3"/>
      <c r="R33" s="3"/>
      <c r="S33" s="3"/>
      <c r="T33" s="3"/>
      <c r="U33" s="17"/>
      <c r="V33" s="323"/>
      <c r="W33" s="323"/>
      <c r="X33" s="428"/>
      <c r="Y33" s="427"/>
      <c r="Z33" s="3"/>
      <c r="AA33" s="3"/>
      <c r="AB33" s="3"/>
      <c r="AC33" s="3"/>
      <c r="AD33" s="5"/>
    </row>
    <row r="34" spans="1:30" ht="18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2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5"/>
    </row>
    <row r="35" spans="1:30" ht="18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2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</row>
    <row r="36" spans="1:30" ht="18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7"/>
      <c r="W36" s="3"/>
      <c r="X36" s="3"/>
      <c r="Y36" s="3" t="s">
        <v>265</v>
      </c>
      <c r="Z36" s="3"/>
      <c r="AA36" s="3"/>
      <c r="AB36" s="3"/>
      <c r="AC36" s="3"/>
      <c r="AD36" s="5"/>
    </row>
    <row r="37" spans="1:30" ht="18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5"/>
    </row>
    <row r="38" spans="1:30" ht="18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5"/>
    </row>
    <row r="39" spans="1:30" ht="18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5"/>
    </row>
    <row r="40" spans="1:30" ht="18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5"/>
    </row>
    <row r="41" spans="1:30" ht="18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5"/>
    </row>
    <row r="42" spans="1:30" ht="18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5"/>
    </row>
    <row r="43" spans="1:30" ht="18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5"/>
    </row>
    <row r="44" spans="1:30" ht="18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5"/>
    </row>
    <row r="45" spans="1:30" ht="18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5"/>
    </row>
    <row r="46" spans="1:30" ht="18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5"/>
    </row>
    <row r="47" spans="1:30" ht="18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5"/>
    </row>
    <row r="48" spans="1:30" ht="18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5"/>
    </row>
    <row r="49" spans="1:30" ht="18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5"/>
    </row>
    <row r="50" spans="1:30" ht="18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5"/>
    </row>
    <row r="51" spans="1:30" ht="18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5"/>
    </row>
    <row r="52" spans="1:30" ht="18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5"/>
    </row>
    <row r="53" spans="1:30" ht="18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5"/>
    </row>
    <row r="54" spans="1:30" ht="18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5"/>
    </row>
    <row r="55" spans="1:30" ht="18.75" customHeight="1" thickBot="1">
      <c r="A55" s="8" t="str">
        <f>+WB!A32</f>
        <v>walter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537" t="str">
        <f>+WB!X32</f>
        <v>Reg. No. 1248</v>
      </c>
      <c r="AD55" s="538"/>
    </row>
    <row r="56" spans="1:30" ht="16.5" customHeight="1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4"/>
    </row>
    <row r="57" spans="1:30" ht="21" customHeight="1">
      <c r="A57" s="571" t="s">
        <v>280</v>
      </c>
      <c r="B57" s="572"/>
      <c r="C57" s="572"/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3"/>
    </row>
    <row r="58" spans="1:30" ht="16.5" customHeight="1">
      <c r="A58" s="575" t="s">
        <v>274</v>
      </c>
      <c r="B58" s="576"/>
      <c r="C58" s="576"/>
      <c r="D58" s="576"/>
      <c r="E58" s="576"/>
      <c r="F58" s="576"/>
      <c r="G58" s="576"/>
      <c r="H58" s="576"/>
      <c r="I58" s="576"/>
      <c r="J58" s="576"/>
      <c r="K58" s="576"/>
      <c r="L58" s="576"/>
      <c r="M58" s="576"/>
      <c r="N58" s="576"/>
      <c r="O58" s="576"/>
      <c r="P58" s="576"/>
      <c r="Q58" s="576"/>
      <c r="R58" s="576"/>
      <c r="S58" s="576"/>
      <c r="T58" s="576"/>
      <c r="U58" s="576"/>
      <c r="V58" s="576"/>
      <c r="W58" s="576"/>
      <c r="X58" s="576"/>
      <c r="Y58" s="576"/>
      <c r="Z58" s="576"/>
      <c r="AA58" s="3"/>
      <c r="AB58" s="3"/>
      <c r="AC58" s="3"/>
      <c r="AD58" s="5"/>
    </row>
    <row r="59" spans="1:30" ht="16.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578" t="s">
        <v>271</v>
      </c>
      <c r="L59" s="578"/>
      <c r="M59" s="578"/>
      <c r="N59" s="578"/>
      <c r="O59" s="483">
        <v>32</v>
      </c>
      <c r="P59" s="483">
        <v>28</v>
      </c>
      <c r="Q59" s="483">
        <v>25</v>
      </c>
      <c r="R59" s="483">
        <v>24</v>
      </c>
      <c r="S59" s="483">
        <v>21</v>
      </c>
      <c r="T59" s="483">
        <v>17</v>
      </c>
      <c r="U59" s="483">
        <v>20</v>
      </c>
      <c r="V59" s="483">
        <v>24</v>
      </c>
      <c r="W59" s="483">
        <v>26</v>
      </c>
      <c r="X59" s="483">
        <v>28</v>
      </c>
      <c r="Y59" s="483">
        <v>32</v>
      </c>
      <c r="Z59" s="3"/>
      <c r="AA59" s="3"/>
      <c r="AB59" s="3"/>
      <c r="AC59" s="3"/>
      <c r="AD59" s="5"/>
    </row>
    <row r="60" spans="1:30" ht="16.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576" t="s">
        <v>270</v>
      </c>
      <c r="L60" s="576"/>
      <c r="M60" s="576"/>
      <c r="N60" s="576"/>
      <c r="O60" s="485">
        <v>1</v>
      </c>
      <c r="P60" s="485">
        <v>0.9</v>
      </c>
      <c r="Q60" s="485">
        <v>0.8</v>
      </c>
      <c r="R60" s="485">
        <v>0.7</v>
      </c>
      <c r="S60" s="485">
        <v>0.6</v>
      </c>
      <c r="T60" s="485">
        <v>0.5</v>
      </c>
      <c r="U60" s="485">
        <v>0.6</v>
      </c>
      <c r="V60" s="485">
        <v>0.7</v>
      </c>
      <c r="W60" s="485">
        <v>0.8</v>
      </c>
      <c r="X60" s="485">
        <v>0.9</v>
      </c>
      <c r="Y60" s="485">
        <v>1</v>
      </c>
      <c r="Z60" s="3"/>
      <c r="AA60" s="3"/>
      <c r="AB60" s="3"/>
      <c r="AC60" s="3"/>
      <c r="AD60" s="5"/>
    </row>
    <row r="61" spans="1:30" ht="16.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5"/>
    </row>
    <row r="62" spans="1:30" ht="16.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5"/>
    </row>
    <row r="63" spans="1:30" ht="16.5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5"/>
    </row>
    <row r="64" spans="1:30" ht="16.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5"/>
    </row>
    <row r="65" spans="1:30" ht="16.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5"/>
    </row>
    <row r="66" spans="1:30" ht="16.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5"/>
    </row>
    <row r="67" spans="1:30" ht="16.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5"/>
    </row>
    <row r="68" spans="1:30" ht="16.5" customHeight="1">
      <c r="A68" s="577" t="s">
        <v>273</v>
      </c>
      <c r="B68" s="567"/>
      <c r="C68" s="567"/>
      <c r="D68" s="567"/>
      <c r="E68" s="567"/>
      <c r="F68" s="567"/>
      <c r="G68" s="567"/>
      <c r="H68" s="56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567" t="s">
        <v>272</v>
      </c>
      <c r="AA68" s="567"/>
      <c r="AB68" s="3"/>
      <c r="AC68" s="3"/>
      <c r="AD68" s="5"/>
    </row>
    <row r="69" spans="1:30" ht="16.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5"/>
    </row>
    <row r="70" spans="1:30" ht="16.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5"/>
    </row>
    <row r="71" spans="1:30" ht="16.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5"/>
    </row>
    <row r="72" spans="1:30" ht="16.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5"/>
    </row>
    <row r="73" spans="1:30" ht="16.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5"/>
    </row>
    <row r="74" spans="1:30" ht="16.5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5"/>
    </row>
    <row r="75" spans="1:30" ht="16.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5"/>
    </row>
    <row r="76" spans="1:30" ht="16.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5"/>
    </row>
    <row r="77" spans="1:30" ht="16.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5"/>
    </row>
    <row r="78" spans="1:30" ht="16.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5"/>
    </row>
    <row r="79" spans="1:30" ht="16.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5"/>
    </row>
    <row r="80" spans="1:30" ht="16.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5"/>
    </row>
    <row r="81" spans="1:30" ht="16.5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5"/>
    </row>
    <row r="82" spans="1:30" ht="16.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5"/>
    </row>
    <row r="83" spans="1:30" ht="16.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5"/>
    </row>
    <row r="84" spans="1:30" ht="16.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5"/>
    </row>
    <row r="85" spans="1:30" ht="16.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5"/>
    </row>
    <row r="86" spans="1:30" ht="16.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5"/>
    </row>
    <row r="87" spans="1:30" ht="16.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5"/>
    </row>
    <row r="88" spans="1:30" ht="16.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5"/>
    </row>
    <row r="89" spans="1:30" ht="16.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5"/>
    </row>
    <row r="90" spans="1:30" ht="16.5" customHeight="1" thickBot="1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15"/>
    </row>
    <row r="91" spans="1:30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4"/>
    </row>
    <row r="92" spans="1:30" ht="21">
      <c r="A92" s="571" t="s">
        <v>278</v>
      </c>
      <c r="B92" s="572"/>
      <c r="C92" s="572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3"/>
      <c r="AB92" s="3"/>
      <c r="AC92" s="3"/>
      <c r="AD92" s="5"/>
    </row>
    <row r="93" spans="1:30">
      <c r="A93" s="575" t="s">
        <v>277</v>
      </c>
      <c r="B93" s="576"/>
      <c r="C93" s="576"/>
      <c r="D93" s="576"/>
      <c r="E93" s="576"/>
      <c r="F93" s="576"/>
      <c r="G93" s="576"/>
      <c r="H93" s="576"/>
      <c r="I93" s="576"/>
      <c r="J93" s="576"/>
      <c r="K93" s="576"/>
      <c r="L93" s="576"/>
      <c r="M93" s="576"/>
      <c r="N93" s="576"/>
      <c r="O93" s="576"/>
      <c r="P93" s="576"/>
      <c r="Q93" s="576"/>
      <c r="R93" s="576"/>
      <c r="S93" s="576"/>
      <c r="T93" s="576"/>
      <c r="U93" s="576"/>
      <c r="V93" s="576"/>
      <c r="W93" s="576"/>
      <c r="X93" s="576"/>
      <c r="Y93" s="576"/>
      <c r="Z93" s="576"/>
      <c r="AA93" s="3"/>
      <c r="AB93" s="3"/>
      <c r="AC93" s="3"/>
      <c r="AD93" s="5"/>
    </row>
    <row r="94" spans="1:30">
      <c r="A94" s="4"/>
      <c r="B94" s="3"/>
      <c r="C94" s="3"/>
      <c r="D94" s="3"/>
      <c r="E94" s="3"/>
      <c r="F94" s="3"/>
      <c r="G94" s="3"/>
      <c r="H94" s="3"/>
      <c r="I94" s="3"/>
      <c r="J94" s="3"/>
      <c r="K94" s="578" t="s">
        <v>275</v>
      </c>
      <c r="L94" s="578"/>
      <c r="M94" s="578"/>
      <c r="N94" s="578"/>
      <c r="O94" s="484">
        <v>0</v>
      </c>
      <c r="P94" s="484">
        <v>1</v>
      </c>
      <c r="Q94" s="484">
        <v>2</v>
      </c>
      <c r="R94" s="484">
        <v>3</v>
      </c>
      <c r="S94" s="484">
        <v>4</v>
      </c>
      <c r="T94" s="484">
        <v>5</v>
      </c>
      <c r="U94" s="484">
        <v>6</v>
      </c>
      <c r="V94" s="484">
        <v>7</v>
      </c>
      <c r="W94" s="484">
        <v>8</v>
      </c>
      <c r="X94" s="484">
        <v>9</v>
      </c>
      <c r="Y94" s="486">
        <v>10</v>
      </c>
      <c r="Z94" s="579" t="s">
        <v>279</v>
      </c>
      <c r="AA94" s="3"/>
      <c r="AB94" s="3"/>
      <c r="AC94" s="3"/>
      <c r="AD94" s="5"/>
    </row>
    <row r="95" spans="1:30">
      <c r="A95" s="575" t="str">
        <f>CONCATENATE(K95,"og ",K96)</f>
        <v>Vout [v] og Vægt [kg]</v>
      </c>
      <c r="B95" s="576"/>
      <c r="C95" s="576"/>
      <c r="D95" s="576"/>
      <c r="E95" s="576"/>
      <c r="F95" s="576"/>
      <c r="G95" s="3"/>
      <c r="H95" s="3"/>
      <c r="I95" s="3"/>
      <c r="J95" s="3"/>
      <c r="K95" s="576" t="s">
        <v>294</v>
      </c>
      <c r="L95" s="576"/>
      <c r="M95" s="576"/>
      <c r="N95" s="576"/>
      <c r="O95" s="485">
        <v>0</v>
      </c>
      <c r="P95" s="485">
        <v>0.24</v>
      </c>
      <c r="Q95" s="485">
        <v>0.56999999999999995</v>
      </c>
      <c r="R95" s="485">
        <v>0.9</v>
      </c>
      <c r="S95" s="485">
        <v>1.2</v>
      </c>
      <c r="T95" s="485">
        <v>1.5</v>
      </c>
      <c r="U95" s="485">
        <v>1.9</v>
      </c>
      <c r="V95" s="485">
        <v>2.2000000000000002</v>
      </c>
      <c r="W95" s="485">
        <v>2.6</v>
      </c>
      <c r="X95" s="485">
        <v>2.9</v>
      </c>
      <c r="Y95" s="487">
        <v>3.3</v>
      </c>
      <c r="Z95" s="580"/>
      <c r="AA95" s="3"/>
      <c r="AB95" s="3"/>
      <c r="AC95" s="3"/>
      <c r="AD95" s="5"/>
    </row>
    <row r="96" spans="1:30">
      <c r="A96" s="4"/>
      <c r="B96" s="3"/>
      <c r="C96" s="3"/>
      <c r="D96" s="3"/>
      <c r="E96" s="3"/>
      <c r="F96" s="3"/>
      <c r="G96" s="3"/>
      <c r="H96" s="3"/>
      <c r="I96" s="3"/>
      <c r="J96" s="3"/>
      <c r="K96" s="576" t="s">
        <v>276</v>
      </c>
      <c r="L96" s="576"/>
      <c r="M96" s="576"/>
      <c r="N96" s="576"/>
      <c r="O96" s="485">
        <v>0</v>
      </c>
      <c r="P96" s="485">
        <v>2.4</v>
      </c>
      <c r="Q96" s="485">
        <v>5.6999999999999993</v>
      </c>
      <c r="R96" s="485">
        <v>9</v>
      </c>
      <c r="S96" s="485">
        <v>12</v>
      </c>
      <c r="T96" s="485">
        <v>15</v>
      </c>
      <c r="U96" s="485">
        <v>19</v>
      </c>
      <c r="V96" s="485">
        <v>22</v>
      </c>
      <c r="W96" s="485">
        <v>26</v>
      </c>
      <c r="X96" s="485">
        <v>29</v>
      </c>
      <c r="Y96" s="488">
        <v>33</v>
      </c>
      <c r="Z96" s="581"/>
      <c r="AA96" s="3"/>
      <c r="AB96" s="3"/>
      <c r="AC96" s="3"/>
      <c r="AD96" s="5"/>
    </row>
    <row r="97" spans="1:30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</row>
    <row r="98" spans="1:30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</row>
    <row r="99" spans="1:30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</row>
    <row r="100" spans="1:30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</row>
    <row r="101" spans="1:30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</row>
    <row r="102" spans="1:30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</row>
    <row r="103" spans="1:30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</row>
    <row r="104" spans="1:30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</row>
    <row r="105" spans="1:30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</row>
    <row r="106" spans="1:30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</row>
    <row r="107" spans="1:30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</row>
    <row r="108" spans="1:30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</row>
    <row r="109" spans="1:30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</row>
    <row r="110" spans="1:30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</row>
    <row r="111" spans="1:30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</row>
    <row r="112" spans="1:30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</row>
    <row r="113" spans="1:30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</row>
    <row r="114" spans="1:30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</row>
    <row r="115" spans="1:30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</row>
    <row r="116" spans="1:30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</row>
    <row r="117" spans="1:30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</row>
    <row r="118" spans="1:30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</row>
    <row r="119" spans="1:30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</row>
    <row r="120" spans="1:30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</row>
    <row r="121" spans="1:30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</row>
    <row r="122" spans="1:30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</row>
    <row r="123" spans="1:30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</row>
    <row r="124" spans="1:30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</row>
    <row r="125" spans="1:30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</row>
    <row r="126" spans="1:30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</row>
    <row r="127" spans="1:30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</row>
    <row r="128" spans="1:30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</row>
    <row r="129" spans="1:30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</row>
    <row r="130" spans="1:30" ht="16.5" thickBot="1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15"/>
    </row>
    <row r="131" spans="1:30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4"/>
    </row>
    <row r="132" spans="1:30" ht="21">
      <c r="A132" s="571" t="s">
        <v>295</v>
      </c>
      <c r="B132" s="572"/>
      <c r="C132" s="572"/>
      <c r="D132" s="572"/>
      <c r="E132" s="572"/>
      <c r="F132" s="572"/>
      <c r="G132" s="572"/>
      <c r="H132" s="572"/>
      <c r="I132" s="572"/>
      <c r="J132" s="572"/>
      <c r="K132" s="572"/>
      <c r="L132" s="572"/>
      <c r="M132" s="572"/>
      <c r="N132" s="572"/>
      <c r="O132" s="572"/>
      <c r="P132" s="572"/>
      <c r="Q132" s="572"/>
      <c r="R132" s="572"/>
      <c r="S132" s="572"/>
      <c r="T132" s="572"/>
      <c r="U132" s="572"/>
      <c r="V132" s="572"/>
      <c r="W132" s="572"/>
      <c r="X132" s="572"/>
      <c r="Y132" s="572"/>
      <c r="Z132" s="572"/>
      <c r="AA132" s="3"/>
      <c r="AB132" s="3"/>
      <c r="AC132" s="3"/>
      <c r="AD132" s="5"/>
    </row>
    <row r="133" spans="1:30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567" t="s">
        <v>296</v>
      </c>
      <c r="P133" s="567"/>
      <c r="Q133" s="567"/>
      <c r="R133" s="567"/>
      <c r="S133" s="567"/>
      <c r="T133" s="567"/>
      <c r="U133" s="3"/>
      <c r="V133" s="3"/>
      <c r="W133" s="3"/>
      <c r="X133" s="3"/>
      <c r="Y133" s="3"/>
      <c r="Z133" s="3"/>
      <c r="AA133" s="3"/>
      <c r="AB133" s="3"/>
      <c r="AC133" s="3"/>
      <c r="AD133" s="5"/>
    </row>
    <row r="134" spans="1:30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567" t="s">
        <v>291</v>
      </c>
      <c r="L134" s="567"/>
      <c r="M134" s="567"/>
      <c r="N134" s="567"/>
      <c r="O134" s="490" t="s">
        <v>284</v>
      </c>
      <c r="P134" s="490" t="s">
        <v>285</v>
      </c>
      <c r="Q134" s="490" t="s">
        <v>286</v>
      </c>
      <c r="R134" s="490" t="s">
        <v>284</v>
      </c>
      <c r="S134" s="490" t="s">
        <v>287</v>
      </c>
      <c r="T134" s="490" t="s">
        <v>288</v>
      </c>
      <c r="U134" s="490" t="s">
        <v>289</v>
      </c>
      <c r="V134" s="490" t="s">
        <v>284</v>
      </c>
      <c r="W134" s="490" t="s">
        <v>290</v>
      </c>
      <c r="X134" s="490" t="s">
        <v>288</v>
      </c>
      <c r="Y134" s="3"/>
      <c r="Z134" s="3"/>
      <c r="AA134" s="3"/>
      <c r="AB134" s="3"/>
      <c r="AC134" s="3"/>
      <c r="AD134" s="5"/>
    </row>
    <row r="135" spans="1:30">
      <c r="A135" s="575" t="str">
        <f>CONCATENATE(K135,"og ",K136)</f>
        <v>Temp °C og Vout volt</v>
      </c>
      <c r="B135" s="576"/>
      <c r="C135" s="576"/>
      <c r="D135" s="576"/>
      <c r="E135" s="576"/>
      <c r="F135" s="576"/>
      <c r="G135" s="3"/>
      <c r="H135" s="3"/>
      <c r="I135" s="3"/>
      <c r="J135" s="3"/>
      <c r="K135" s="726" t="s">
        <v>297</v>
      </c>
      <c r="L135" s="726"/>
      <c r="M135" s="726"/>
      <c r="N135" s="726"/>
      <c r="O135" s="727">
        <v>23</v>
      </c>
      <c r="P135" s="727">
        <v>19</v>
      </c>
      <c r="Q135" s="727">
        <v>16</v>
      </c>
      <c r="R135" s="727">
        <v>18</v>
      </c>
      <c r="S135" s="727">
        <v>24</v>
      </c>
      <c r="T135" s="727">
        <v>24</v>
      </c>
      <c r="U135" s="727">
        <v>15</v>
      </c>
      <c r="V135" s="727">
        <v>25</v>
      </c>
      <c r="W135" s="727">
        <v>28</v>
      </c>
      <c r="X135" s="727">
        <v>24</v>
      </c>
      <c r="Y135" s="3"/>
      <c r="Z135" s="3"/>
      <c r="AA135" s="3"/>
      <c r="AB135" s="3"/>
      <c r="AC135" s="3"/>
      <c r="AD135" s="5"/>
    </row>
    <row r="136" spans="1:30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728" t="s">
        <v>292</v>
      </c>
      <c r="L136" s="728"/>
      <c r="M136" s="728"/>
      <c r="N136" s="728"/>
      <c r="O136" s="729">
        <v>1.1000000000000001</v>
      </c>
      <c r="P136" s="729">
        <v>0.9</v>
      </c>
      <c r="Q136" s="729">
        <v>0.5</v>
      </c>
      <c r="R136" s="729">
        <v>0.8</v>
      </c>
      <c r="S136" s="729">
        <v>1</v>
      </c>
      <c r="T136" s="729">
        <v>1.1000000000000001</v>
      </c>
      <c r="U136" s="729">
        <v>0.5</v>
      </c>
      <c r="V136" s="729">
        <v>1.1000000000000001</v>
      </c>
      <c r="W136" s="729">
        <v>1.2</v>
      </c>
      <c r="X136" s="729">
        <v>1.1000000000000001</v>
      </c>
      <c r="Y136" s="3"/>
      <c r="Z136" s="3"/>
      <c r="AA136" s="3"/>
      <c r="AB136" s="3"/>
      <c r="AC136" s="3"/>
      <c r="AD136" s="5"/>
    </row>
    <row r="137" spans="1:30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567" t="s">
        <v>293</v>
      </c>
      <c r="L137" s="567"/>
      <c r="M137" s="567"/>
      <c r="N137" s="567"/>
      <c r="O137" s="282">
        <v>1.1599999999999999</v>
      </c>
      <c r="P137" s="282">
        <v>0.97</v>
      </c>
      <c r="Q137" s="282">
        <v>0.06</v>
      </c>
      <c r="R137" s="282">
        <v>0.85</v>
      </c>
      <c r="S137" s="282">
        <v>1.0900000000000001</v>
      </c>
      <c r="T137" s="282">
        <v>1.1399999999999999</v>
      </c>
      <c r="U137" s="282">
        <v>0.56699999999999995</v>
      </c>
      <c r="V137" s="282">
        <v>1.1299999999999999</v>
      </c>
      <c r="W137" s="282">
        <v>1.25</v>
      </c>
      <c r="X137" s="282">
        <v>1.1399999999999999</v>
      </c>
      <c r="Y137" s="3"/>
      <c r="Z137" s="3"/>
      <c r="AA137" s="3"/>
      <c r="AB137" s="3"/>
      <c r="AC137" s="3"/>
      <c r="AD137" s="5"/>
    </row>
    <row r="138" spans="1:30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</row>
    <row r="139" spans="1:30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</row>
    <row r="140" spans="1:30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</row>
    <row r="141" spans="1:30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</row>
    <row r="142" spans="1:30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</row>
    <row r="143" spans="1:30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</row>
    <row r="144" spans="1:30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</row>
    <row r="145" spans="1:30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</row>
    <row r="146" spans="1:30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</row>
    <row r="147" spans="1:30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</row>
    <row r="148" spans="1:30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</row>
    <row r="149" spans="1:30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</row>
    <row r="150" spans="1:30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</row>
    <row r="151" spans="1:30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</row>
    <row r="152" spans="1:30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</row>
    <row r="153" spans="1:30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</row>
    <row r="154" spans="1:30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</row>
    <row r="155" spans="1:30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</row>
    <row r="156" spans="1:30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</row>
    <row r="157" spans="1:30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</row>
    <row r="158" spans="1:30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</row>
    <row r="159" spans="1:30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</row>
    <row r="160" spans="1:30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</row>
    <row r="161" spans="1:30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</row>
    <row r="162" spans="1:30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</row>
    <row r="163" spans="1:30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</row>
    <row r="164" spans="1:30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</row>
    <row r="165" spans="1:30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</row>
    <row r="166" spans="1:30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</row>
    <row r="167" spans="1:30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</row>
    <row r="168" spans="1:30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</row>
    <row r="169" spans="1:30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</row>
    <row r="170" spans="1:30" ht="16.5" thickBot="1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15"/>
    </row>
  </sheetData>
  <mergeCells count="60">
    <mergeCell ref="A95:F95"/>
    <mergeCell ref="A135:F135"/>
    <mergeCell ref="O133:T133"/>
    <mergeCell ref="Q21:R22"/>
    <mergeCell ref="P10:Q10"/>
    <mergeCell ref="J24:K24"/>
    <mergeCell ref="F11:F12"/>
    <mergeCell ref="A92:Z92"/>
    <mergeCell ref="A58:Z58"/>
    <mergeCell ref="G17:H20"/>
    <mergeCell ref="E19:F19"/>
    <mergeCell ref="L15:L16"/>
    <mergeCell ref="P15:Q16"/>
    <mergeCell ref="M17:N20"/>
    <mergeCell ref="K19:L19"/>
    <mergeCell ref="P19:P20"/>
    <mergeCell ref="Q19:R20"/>
    <mergeCell ref="A68:H68"/>
    <mergeCell ref="Z68:AA68"/>
    <mergeCell ref="A1:V1"/>
    <mergeCell ref="X1:Z1"/>
    <mergeCell ref="A11:A12"/>
    <mergeCell ref="R13:R14"/>
    <mergeCell ref="S13:S14"/>
    <mergeCell ref="P14:Q14"/>
    <mergeCell ref="J13:K13"/>
    <mergeCell ref="O13:O14"/>
    <mergeCell ref="T13:W13"/>
    <mergeCell ref="P11:Q12"/>
    <mergeCell ref="G13:G14"/>
    <mergeCell ref="N13:N14"/>
    <mergeCell ref="AC1:AD1"/>
    <mergeCell ref="AC55:AD55"/>
    <mergeCell ref="B2:N2"/>
    <mergeCell ref="P2:V2"/>
    <mergeCell ref="X2:Z2"/>
    <mergeCell ref="E9:F9"/>
    <mergeCell ref="K9:L9"/>
    <mergeCell ref="J3:K3"/>
    <mergeCell ref="Q4:V4"/>
    <mergeCell ref="G7:H10"/>
    <mergeCell ref="M7:N10"/>
    <mergeCell ref="S7:S8"/>
    <mergeCell ref="T7:T8"/>
    <mergeCell ref="U7:U8"/>
    <mergeCell ref="V7:V8"/>
    <mergeCell ref="P21:P22"/>
    <mergeCell ref="K134:N134"/>
    <mergeCell ref="K135:N135"/>
    <mergeCell ref="K136:N136"/>
    <mergeCell ref="K137:N137"/>
    <mergeCell ref="A57:AD57"/>
    <mergeCell ref="K59:N59"/>
    <mergeCell ref="K60:N60"/>
    <mergeCell ref="K94:N94"/>
    <mergeCell ref="K95:N95"/>
    <mergeCell ref="K96:N96"/>
    <mergeCell ref="A93:Z93"/>
    <mergeCell ref="Z94:Z96"/>
    <mergeCell ref="A132:Z132"/>
  </mergeCells>
  <hyperlinks>
    <hyperlink ref="AF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0"/>
  <sheetViews>
    <sheetView zoomScaleNormal="100" workbookViewId="0">
      <selection sqref="A1:M1"/>
    </sheetView>
  </sheetViews>
  <sheetFormatPr defaultRowHeight="15.75"/>
  <cols>
    <col min="1" max="14" width="12.7109375" style="1" customWidth="1"/>
    <col min="15" max="15" width="14.140625" style="1" bestFit="1" customWidth="1"/>
    <col min="16" max="16" width="13.7109375" style="1" bestFit="1" customWidth="1"/>
    <col min="17" max="17" width="16" style="1" bestFit="1" customWidth="1"/>
    <col min="18" max="16384" width="9.140625" style="1"/>
  </cols>
  <sheetData>
    <row r="1" spans="1:15" ht="18.75">
      <c r="A1" s="587" t="s">
        <v>113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9" t="s">
        <v>111</v>
      </c>
      <c r="O1" s="590"/>
    </row>
    <row r="2" spans="1:1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1:15" ht="16.5" thickBo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</row>
    <row r="4" spans="1:15">
      <c r="A4" s="111"/>
      <c r="B4" s="112"/>
      <c r="C4" s="582" t="s">
        <v>67</v>
      </c>
      <c r="D4" s="583"/>
      <c r="E4" s="583"/>
      <c r="F4" s="583"/>
      <c r="G4" s="583"/>
      <c r="H4" s="584"/>
      <c r="I4" s="112"/>
      <c r="J4" s="112"/>
      <c r="K4" s="112"/>
      <c r="L4" s="112"/>
      <c r="M4" s="112"/>
      <c r="N4" s="112"/>
      <c r="O4" s="113"/>
    </row>
    <row r="5" spans="1:15">
      <c r="A5" s="111"/>
      <c r="B5" s="112"/>
      <c r="C5" s="26" t="s">
        <v>76</v>
      </c>
      <c r="D5" s="25" t="s">
        <v>66</v>
      </c>
      <c r="E5" s="25" t="s">
        <v>14</v>
      </c>
      <c r="F5" s="25" t="s">
        <v>68</v>
      </c>
      <c r="G5" s="25" t="s">
        <v>69</v>
      </c>
      <c r="H5" s="27" t="s">
        <v>70</v>
      </c>
      <c r="I5" s="114"/>
      <c r="J5" s="112"/>
      <c r="K5" s="112"/>
      <c r="L5" s="112"/>
      <c r="M5" s="112"/>
      <c r="N5" s="112"/>
      <c r="O5" s="113"/>
    </row>
    <row r="6" spans="1:15" ht="16.5" thickBot="1">
      <c r="A6" s="111"/>
      <c r="B6" s="112"/>
      <c r="C6" s="334">
        <v>4</v>
      </c>
      <c r="D6" s="335">
        <v>60000</v>
      </c>
      <c r="E6" s="335">
        <v>10</v>
      </c>
      <c r="F6" s="337">
        <v>233.90243725341819</v>
      </c>
      <c r="G6" s="338">
        <f>F6/H6</f>
        <v>0.23390243725341819</v>
      </c>
      <c r="H6" s="336">
        <v>1000</v>
      </c>
      <c r="I6" s="114"/>
      <c r="J6" s="112"/>
      <c r="K6" s="112"/>
      <c r="L6" s="112"/>
      <c r="M6" s="112"/>
      <c r="N6" s="112"/>
      <c r="O6" s="113"/>
    </row>
    <row r="7" spans="1:15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</row>
    <row r="8" spans="1:15">
      <c r="A8" s="111"/>
      <c r="B8" s="112"/>
      <c r="C8" s="112" t="s">
        <v>178</v>
      </c>
      <c r="D8" s="112"/>
      <c r="E8" s="112"/>
      <c r="F8" s="115">
        <f>C6+D6/(E6+F6)</f>
        <v>250.00000178620243</v>
      </c>
      <c r="G8" s="112"/>
      <c r="H8" s="112"/>
      <c r="I8" s="112"/>
      <c r="J8" s="112"/>
      <c r="K8" s="112"/>
      <c r="L8" s="112"/>
      <c r="M8" s="112"/>
      <c r="N8" s="112"/>
      <c r="O8" s="113"/>
    </row>
    <row r="9" spans="1:15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3"/>
    </row>
    <row r="10" spans="1:15">
      <c r="A10" s="111"/>
      <c r="B10" s="112"/>
      <c r="C10" s="112"/>
      <c r="D10" s="112"/>
      <c r="E10" s="112"/>
      <c r="F10" s="112"/>
      <c r="G10" s="112"/>
      <c r="H10" s="114"/>
      <c r="I10" s="112"/>
      <c r="J10" s="112"/>
      <c r="K10" s="112"/>
      <c r="L10" s="112"/>
      <c r="M10" s="112"/>
      <c r="N10" s="112"/>
      <c r="O10" s="113"/>
    </row>
    <row r="11" spans="1:1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</row>
    <row r="12" spans="1:1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3"/>
    </row>
    <row r="13" spans="1:15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3"/>
    </row>
    <row r="15" spans="1:15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</row>
    <row r="16" spans="1:15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1:15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</row>
    <row r="18" spans="1:15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</row>
    <row r="19" spans="1:15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</row>
    <row r="20" spans="1:15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</row>
    <row r="21" spans="1:1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</row>
    <row r="22" spans="1:1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/>
    </row>
    <row r="23" spans="1:1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</row>
    <row r="24" spans="1:1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3"/>
    </row>
    <row r="25" spans="1:1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</row>
    <row r="26" spans="1:1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</row>
    <row r="27" spans="1:1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</row>
    <row r="29" spans="1:1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3"/>
    </row>
    <row r="30" spans="1:15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</row>
    <row r="31" spans="1:15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</row>
    <row r="32" spans="1:15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</row>
    <row r="33" spans="1:17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</row>
    <row r="34" spans="1:17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</row>
    <row r="35" spans="1:17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1:17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1:17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1:17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7" ht="16.5" thickBot="1">
      <c r="A39" s="116" t="str">
        <f>+WB!A32</f>
        <v>walter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585" t="str">
        <f>+WB!X32</f>
        <v>Reg. No. 1248</v>
      </c>
      <c r="O39" s="586"/>
    </row>
    <row r="42" spans="1:17">
      <c r="A42"/>
      <c r="P42" s="1" t="s">
        <v>203</v>
      </c>
      <c r="Q42" s="1" t="s">
        <v>202</v>
      </c>
    </row>
    <row r="43" spans="1:17">
      <c r="P43" s="1" t="s">
        <v>204</v>
      </c>
      <c r="Q43" s="1" t="s">
        <v>201</v>
      </c>
    </row>
    <row r="44" spans="1:17">
      <c r="P44" s="1" t="s">
        <v>205</v>
      </c>
      <c r="Q44" s="1" t="s">
        <v>200</v>
      </c>
    </row>
    <row r="45" spans="1:17">
      <c r="P45" s="1" t="s">
        <v>206</v>
      </c>
      <c r="Q45" s="1" t="s">
        <v>199</v>
      </c>
    </row>
    <row r="46" spans="1:17">
      <c r="P46" s="1" t="s">
        <v>207</v>
      </c>
      <c r="Q46" s="1" t="s">
        <v>198</v>
      </c>
    </row>
    <row r="47" spans="1:17">
      <c r="P47" s="1" t="s">
        <v>208</v>
      </c>
      <c r="Q47" s="1" t="s">
        <v>197</v>
      </c>
    </row>
    <row r="48" spans="1:17">
      <c r="P48" s="1" t="s">
        <v>209</v>
      </c>
      <c r="Q48" s="1" t="s">
        <v>196</v>
      </c>
    </row>
    <row r="49" spans="16:17">
      <c r="P49" s="1" t="s">
        <v>194</v>
      </c>
      <c r="Q49" s="1" t="s">
        <v>195</v>
      </c>
    </row>
    <row r="51" spans="16:17">
      <c r="P51" s="1" t="s">
        <v>210</v>
      </c>
    </row>
    <row r="53" spans="16:17">
      <c r="P53" s="472" t="s">
        <v>268</v>
      </c>
    </row>
    <row r="64" spans="16:17">
      <c r="P64" s="1" t="s">
        <v>283</v>
      </c>
    </row>
    <row r="84" spans="1:1">
      <c r="A84"/>
    </row>
    <row r="118" spans="1:14">
      <c r="A118"/>
    </row>
    <row r="119" spans="1:14">
      <c r="N119" s="1" t="s">
        <v>211</v>
      </c>
    </row>
    <row r="120" spans="1:14">
      <c r="N120" s="1" t="s">
        <v>212</v>
      </c>
    </row>
    <row r="124" spans="1:14">
      <c r="N124" s="1" t="s">
        <v>213</v>
      </c>
    </row>
    <row r="125" spans="1:14">
      <c r="N125" s="1" t="s">
        <v>214</v>
      </c>
    </row>
    <row r="126" spans="1:14">
      <c r="N126" s="1" t="s">
        <v>215</v>
      </c>
    </row>
    <row r="137" spans="14:14">
      <c r="N137" s="443" t="s">
        <v>217</v>
      </c>
    </row>
    <row r="138" spans="14:14">
      <c r="N138" s="443" t="s">
        <v>216</v>
      </c>
    </row>
    <row r="139" spans="14:14">
      <c r="N139" s="443" t="s">
        <v>218</v>
      </c>
    </row>
    <row r="140" spans="14:14">
      <c r="N140" s="442"/>
    </row>
  </sheetData>
  <mergeCells count="4">
    <mergeCell ref="C4:H4"/>
    <mergeCell ref="N39:O39"/>
    <mergeCell ref="A1:M1"/>
    <mergeCell ref="N1:O1"/>
  </mergeCells>
  <hyperlinks>
    <hyperlink ref="P53" r:id="rId1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3"/>
  <sheetViews>
    <sheetView workbookViewId="0">
      <selection sqref="A1:K1"/>
    </sheetView>
  </sheetViews>
  <sheetFormatPr defaultRowHeight="15"/>
  <cols>
    <col min="1" max="14" width="12.7109375" customWidth="1"/>
  </cols>
  <sheetData>
    <row r="1" spans="1:22" ht="18.75">
      <c r="A1" s="591" t="s">
        <v>82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481"/>
      <c r="M1" s="592" t="s">
        <v>111</v>
      </c>
      <c r="N1" s="592"/>
    </row>
    <row r="3" spans="1:22">
      <c r="P3" s="480" t="s">
        <v>266</v>
      </c>
      <c r="V3" t="s">
        <v>267</v>
      </c>
    </row>
    <row r="4" spans="1:22" ht="15.75">
      <c r="P4" s="2"/>
    </row>
    <row r="5" spans="1:22">
      <c r="P5" s="472" t="s">
        <v>263</v>
      </c>
    </row>
    <row r="6" spans="1:22" ht="15.75">
      <c r="P6" s="2"/>
    </row>
    <row r="7" spans="1:22">
      <c r="P7" s="479" t="s">
        <v>264</v>
      </c>
    </row>
    <row r="8" spans="1:22" ht="15.75">
      <c r="P8" s="2"/>
    </row>
    <row r="10" spans="1:22" ht="15.75">
      <c r="P10" s="482" t="s">
        <v>269</v>
      </c>
    </row>
    <row r="13" spans="1:22" ht="15.75">
      <c r="N13" s="21"/>
      <c r="O13" s="21"/>
      <c r="P13" s="21"/>
      <c r="Q13" s="21"/>
      <c r="R13" s="21"/>
    </row>
  </sheetData>
  <mergeCells count="2">
    <mergeCell ref="A1:K1"/>
    <mergeCell ref="M1:N1"/>
  </mergeCells>
  <hyperlinks>
    <hyperlink ref="P3" r:id="rId1"/>
    <hyperlink ref="P7" r:id="rId2"/>
    <hyperlink ref="P5" r:id="rId3"/>
  </hyperlinks>
  <pageMargins left="0.7" right="0.7" top="0.75" bottom="0.75" header="0.3" footer="0.3"/>
  <pageSetup paperSize="9"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1"/>
  <sheetViews>
    <sheetView zoomScaleNormal="100" workbookViewId="0">
      <selection sqref="A1:S1"/>
    </sheetView>
  </sheetViews>
  <sheetFormatPr defaultColWidth="8.85546875" defaultRowHeight="15"/>
  <cols>
    <col min="1" max="2" width="12.7109375" style="341" customWidth="1"/>
    <col min="3" max="4" width="3.7109375" style="341" customWidth="1"/>
    <col min="5" max="7" width="12.7109375" style="341" customWidth="1"/>
    <col min="8" max="8" width="14.7109375" style="341" customWidth="1"/>
    <col min="9" max="10" width="1.85546875" style="341" customWidth="1"/>
    <col min="11" max="11" width="14.7109375" style="341" customWidth="1"/>
    <col min="12" max="12" width="23.7109375" style="341" customWidth="1"/>
    <col min="13" max="13" width="14.7109375" style="341" customWidth="1"/>
    <col min="14" max="15" width="1.85546875" style="341" customWidth="1"/>
    <col min="16" max="16" width="14.7109375" style="341" customWidth="1"/>
    <col min="17" max="18" width="12.7109375" style="341" customWidth="1"/>
    <col min="19" max="20" width="3.7109375" style="341" customWidth="1"/>
    <col min="21" max="22" width="12.7109375" style="341" customWidth="1"/>
    <col min="23" max="23" width="8.85546875" style="341"/>
    <col min="24" max="25" width="12" style="341" bestFit="1" customWidth="1"/>
    <col min="26" max="16384" width="8.85546875" style="341"/>
  </cols>
  <sheetData>
    <row r="1" spans="1:27" ht="20.25" customHeight="1">
      <c r="A1" s="608" t="s">
        <v>236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339"/>
      <c r="U1" s="593" t="s">
        <v>111</v>
      </c>
      <c r="V1" s="594"/>
      <c r="W1" s="340"/>
      <c r="X1" s="340"/>
      <c r="Y1" s="340"/>
      <c r="Z1" s="340"/>
      <c r="AA1" s="340"/>
    </row>
    <row r="2" spans="1:27" ht="17.45" customHeight="1">
      <c r="A2" s="342"/>
      <c r="B2" s="343"/>
      <c r="C2" s="343"/>
      <c r="D2" s="344"/>
      <c r="E2" s="344"/>
      <c r="F2" s="344"/>
      <c r="G2" s="345"/>
      <c r="H2" s="345"/>
      <c r="I2" s="345"/>
      <c r="J2" s="346"/>
      <c r="K2" s="346"/>
      <c r="L2" s="346"/>
      <c r="M2" s="346"/>
      <c r="N2" s="346"/>
      <c r="O2" s="345"/>
      <c r="P2" s="345"/>
      <c r="Q2" s="345"/>
      <c r="R2" s="345"/>
      <c r="S2" s="344"/>
      <c r="T2" s="343"/>
      <c r="U2" s="343"/>
      <c r="V2" s="347"/>
      <c r="W2" s="340"/>
      <c r="X2" s="340"/>
      <c r="Y2" s="340"/>
      <c r="Z2" s="340"/>
      <c r="AA2" s="340"/>
    </row>
    <row r="3" spans="1:27" ht="17.45" customHeight="1" thickBot="1">
      <c r="A3" s="342"/>
      <c r="B3" s="343"/>
      <c r="C3" s="343"/>
      <c r="D3" s="348"/>
      <c r="E3" s="343"/>
      <c r="F3" s="343"/>
      <c r="G3" s="346"/>
      <c r="H3" s="346"/>
      <c r="I3" s="346"/>
      <c r="J3" s="349"/>
      <c r="K3" s="346"/>
      <c r="L3" s="350" t="s">
        <v>77</v>
      </c>
      <c r="M3" s="346"/>
      <c r="N3" s="351"/>
      <c r="O3" s="346"/>
      <c r="P3" s="346"/>
      <c r="Q3" s="346"/>
      <c r="R3" s="352"/>
      <c r="S3" s="353"/>
      <c r="T3" s="343"/>
      <c r="U3" s="346"/>
      <c r="V3" s="347"/>
      <c r="W3" s="340"/>
      <c r="X3" s="340"/>
      <c r="Y3" s="340"/>
      <c r="Z3" s="340"/>
      <c r="AA3" s="340"/>
    </row>
    <row r="4" spans="1:27" ht="17.45" customHeight="1">
      <c r="A4" s="342"/>
      <c r="B4" s="343"/>
      <c r="C4" s="343"/>
      <c r="D4" s="348"/>
      <c r="E4" s="343"/>
      <c r="F4" s="343"/>
      <c r="G4" s="354"/>
      <c r="H4" s="355" t="s">
        <v>13</v>
      </c>
      <c r="I4" s="595" t="s">
        <v>1</v>
      </c>
      <c r="J4" s="596"/>
      <c r="K4" s="356" t="s">
        <v>116</v>
      </c>
      <c r="L4" s="346"/>
      <c r="M4" s="357" t="s">
        <v>117</v>
      </c>
      <c r="N4" s="601" t="s">
        <v>3</v>
      </c>
      <c r="O4" s="602"/>
      <c r="P4" s="358" t="s">
        <v>13</v>
      </c>
      <c r="Q4" s="354"/>
      <c r="R4" s="354"/>
      <c r="S4" s="353"/>
      <c r="T4" s="343"/>
      <c r="U4" s="359"/>
      <c r="V4" s="347"/>
      <c r="W4" s="340"/>
      <c r="X4" s="340"/>
      <c r="Y4" s="340"/>
      <c r="Z4" s="340"/>
      <c r="AA4" s="340"/>
    </row>
    <row r="5" spans="1:27" ht="17.45" customHeight="1">
      <c r="A5" s="342"/>
      <c r="B5" s="343"/>
      <c r="C5" s="343"/>
      <c r="D5" s="348"/>
      <c r="E5" s="343"/>
      <c r="F5" s="343"/>
      <c r="G5" s="346"/>
      <c r="H5" s="360">
        <v>289.8</v>
      </c>
      <c r="I5" s="597"/>
      <c r="J5" s="598"/>
      <c r="K5" s="346"/>
      <c r="L5" s="346"/>
      <c r="M5" s="346"/>
      <c r="N5" s="603"/>
      <c r="O5" s="604"/>
      <c r="P5" s="361">
        <v>290.2</v>
      </c>
      <c r="Q5" s="346"/>
      <c r="R5" s="354"/>
      <c r="S5" s="353"/>
      <c r="T5" s="343"/>
      <c r="U5" s="362"/>
      <c r="V5" s="347"/>
      <c r="W5" s="340"/>
      <c r="X5" s="340"/>
      <c r="Y5" s="340"/>
      <c r="Z5" s="340"/>
      <c r="AA5" s="340"/>
    </row>
    <row r="6" spans="1:27" ht="17.45" customHeight="1" thickBot="1">
      <c r="A6" s="342"/>
      <c r="B6" s="343"/>
      <c r="C6" s="343"/>
      <c r="D6" s="348"/>
      <c r="E6" s="343"/>
      <c r="F6" s="343"/>
      <c r="G6" s="346"/>
      <c r="H6" s="346"/>
      <c r="I6" s="599"/>
      <c r="J6" s="600"/>
      <c r="K6" s="346"/>
      <c r="L6" s="346" t="s">
        <v>64</v>
      </c>
      <c r="M6" s="346"/>
      <c r="N6" s="605"/>
      <c r="O6" s="606"/>
      <c r="P6" s="346"/>
      <c r="Q6" s="346"/>
      <c r="R6" s="354"/>
      <c r="S6" s="353"/>
      <c r="T6" s="343"/>
      <c r="U6" s="343"/>
      <c r="V6" s="347"/>
      <c r="W6" s="340"/>
      <c r="X6" s="340"/>
      <c r="Y6" s="340"/>
      <c r="Z6" s="340"/>
      <c r="AA6" s="340"/>
    </row>
    <row r="7" spans="1:27" ht="17.45" customHeight="1" thickBot="1">
      <c r="A7" s="363"/>
      <c r="B7" s="355" t="s">
        <v>6</v>
      </c>
      <c r="C7" s="364" t="str">
        <f>+IF(B8&gt;=0,"+","-")</f>
        <v>+</v>
      </c>
      <c r="D7" s="365"/>
      <c r="E7" s="343"/>
      <c r="F7" s="343"/>
      <c r="G7" s="607" t="s">
        <v>6</v>
      </c>
      <c r="H7" s="607"/>
      <c r="I7" s="346"/>
      <c r="J7" s="366"/>
      <c r="K7" s="346"/>
      <c r="L7" s="367">
        <v>33000</v>
      </c>
      <c r="M7" s="346"/>
      <c r="N7" s="351"/>
      <c r="O7" s="346"/>
      <c r="P7" s="607" t="s">
        <v>6</v>
      </c>
      <c r="Q7" s="607"/>
      <c r="R7" s="354"/>
      <c r="S7" s="364" t="str">
        <f>+IF(U8&gt;=0,"+","-")</f>
        <v>+</v>
      </c>
      <c r="T7" s="365"/>
      <c r="U7" s="358" t="s">
        <v>6</v>
      </c>
      <c r="V7" s="368"/>
      <c r="W7" s="340"/>
      <c r="X7" s="340"/>
      <c r="Y7" s="340"/>
      <c r="Z7" s="340"/>
      <c r="AA7" s="340"/>
    </row>
    <row r="8" spans="1:27" ht="17.45" customHeight="1">
      <c r="A8" s="358" t="s">
        <v>45</v>
      </c>
      <c r="B8" s="369">
        <v>5</v>
      </c>
      <c r="C8" s="342"/>
      <c r="D8" s="347"/>
      <c r="E8" s="343"/>
      <c r="F8" s="343"/>
      <c r="G8" s="370" t="s">
        <v>46</v>
      </c>
      <c r="H8" s="371">
        <f>+I23</f>
        <v>2.5017091184127329</v>
      </c>
      <c r="I8" s="346"/>
      <c r="J8" s="372"/>
      <c r="K8" s="345"/>
      <c r="L8" s="614" t="s">
        <v>14</v>
      </c>
      <c r="M8" s="345"/>
      <c r="N8" s="373"/>
      <c r="O8" s="374"/>
      <c r="P8" s="375">
        <f>+M23</f>
        <v>2.4982908815872671</v>
      </c>
      <c r="Q8" s="376" t="s">
        <v>47</v>
      </c>
      <c r="R8" s="354"/>
      <c r="S8" s="342"/>
      <c r="T8" s="347"/>
      <c r="U8" s="377">
        <v>5</v>
      </c>
      <c r="V8" s="355" t="s">
        <v>48</v>
      </c>
      <c r="W8" s="340"/>
      <c r="X8" s="340"/>
      <c r="Y8" s="340"/>
      <c r="Z8" s="340"/>
      <c r="AA8" s="340"/>
    </row>
    <row r="9" spans="1:27" ht="17.45" customHeight="1" thickBot="1">
      <c r="A9" s="363"/>
      <c r="B9" s="343"/>
      <c r="C9" s="342"/>
      <c r="D9" s="347"/>
      <c r="E9" s="343"/>
      <c r="F9" s="460"/>
      <c r="G9" s="354"/>
      <c r="H9" s="380" t="s">
        <v>80</v>
      </c>
      <c r="I9" s="346"/>
      <c r="J9" s="610" t="str">
        <f>IF(P8=H8,"Ens",IF(H8&gt;P8,"Positiv",IF(H8&lt;P8,"Negativ","ERR")))</f>
        <v>Positiv</v>
      </c>
      <c r="K9" s="611"/>
      <c r="L9" s="615"/>
      <c r="M9" s="611" t="str">
        <f>IF(P8=H8,"Ens",IF(P8&gt;H8,"Positiv",IF(P8&lt;H8,"Negativ","ERR")))</f>
        <v>Negativ</v>
      </c>
      <c r="N9" s="379"/>
      <c r="O9" s="374"/>
      <c r="P9" s="378" t="s">
        <v>79</v>
      </c>
      <c r="Q9" s="381"/>
      <c r="R9" s="354"/>
      <c r="S9" s="342"/>
      <c r="T9" s="347"/>
      <c r="U9" s="343"/>
      <c r="V9" s="368"/>
      <c r="W9" s="340"/>
      <c r="X9" s="340"/>
      <c r="Y9" s="340"/>
      <c r="Z9" s="340"/>
      <c r="AA9" s="340"/>
    </row>
    <row r="10" spans="1:27" ht="17.45" customHeight="1" thickBot="1">
      <c r="A10" s="342"/>
      <c r="B10" s="343"/>
      <c r="C10" s="382"/>
      <c r="D10" s="383"/>
      <c r="E10" s="343"/>
      <c r="F10" s="343"/>
      <c r="G10" s="346"/>
      <c r="H10" s="346"/>
      <c r="I10" s="346"/>
      <c r="J10" s="612"/>
      <c r="K10" s="613"/>
      <c r="L10" s="440" t="s">
        <v>245</v>
      </c>
      <c r="M10" s="613"/>
      <c r="N10" s="384"/>
      <c r="O10" s="346"/>
      <c r="P10" s="346"/>
      <c r="Q10" s="346"/>
      <c r="R10" s="354"/>
      <c r="S10" s="382"/>
      <c r="T10" s="383"/>
      <c r="U10" s="343"/>
      <c r="V10" s="347"/>
      <c r="W10" s="340"/>
      <c r="X10" s="340"/>
      <c r="Y10" s="340"/>
      <c r="Z10" s="340"/>
      <c r="AA10" s="340"/>
    </row>
    <row r="11" spans="1:27" ht="17.45" customHeight="1">
      <c r="A11" s="342"/>
      <c r="B11" s="343"/>
      <c r="C11" s="343"/>
      <c r="D11" s="348"/>
      <c r="E11" s="343"/>
      <c r="F11" s="343"/>
      <c r="G11" s="354"/>
      <c r="H11" s="355" t="s">
        <v>13</v>
      </c>
      <c r="I11" s="601" t="s">
        <v>2</v>
      </c>
      <c r="J11" s="602"/>
      <c r="K11" s="356" t="s">
        <v>117</v>
      </c>
      <c r="L11" s="110">
        <f>+(I23-M23)*1000</f>
        <v>3.4182368254658257</v>
      </c>
      <c r="M11" s="356" t="s">
        <v>116</v>
      </c>
      <c r="N11" s="595" t="s">
        <v>29</v>
      </c>
      <c r="O11" s="596"/>
      <c r="P11" s="358" t="s">
        <v>13</v>
      </c>
      <c r="Q11" s="346"/>
      <c r="R11" s="354"/>
      <c r="S11" s="353"/>
      <c r="T11" s="343"/>
      <c r="U11" s="343"/>
      <c r="V11" s="347"/>
      <c r="W11" s="340"/>
      <c r="X11" s="340"/>
      <c r="Y11" s="340"/>
      <c r="Z11" s="340"/>
      <c r="AA11" s="340"/>
    </row>
    <row r="12" spans="1:27" ht="17.45" customHeight="1">
      <c r="A12" s="342"/>
      <c r="B12" s="343"/>
      <c r="C12" s="343"/>
      <c r="D12" s="348"/>
      <c r="E12" s="343"/>
      <c r="F12" s="343"/>
      <c r="G12" s="346"/>
      <c r="H12" s="361">
        <v>290.2</v>
      </c>
      <c r="I12" s="603"/>
      <c r="J12" s="604"/>
      <c r="K12" s="346"/>
      <c r="L12" s="346" t="s">
        <v>49</v>
      </c>
      <c r="M12" s="346"/>
      <c r="N12" s="597"/>
      <c r="O12" s="598"/>
      <c r="P12" s="360">
        <v>289.8</v>
      </c>
      <c r="Q12" s="346"/>
      <c r="R12" s="354"/>
      <c r="S12" s="353"/>
      <c r="T12" s="343"/>
      <c r="U12" s="343"/>
      <c r="V12" s="347"/>
      <c r="W12" s="340"/>
      <c r="X12" s="340"/>
      <c r="Y12" s="340"/>
      <c r="Z12" s="340"/>
      <c r="AA12" s="340"/>
    </row>
    <row r="13" spans="1:27" ht="17.45" customHeight="1" thickBot="1">
      <c r="A13" s="342"/>
      <c r="B13" s="343"/>
      <c r="C13" s="343"/>
      <c r="D13" s="348"/>
      <c r="E13" s="343"/>
      <c r="F13" s="343"/>
      <c r="G13" s="346"/>
      <c r="H13" s="385"/>
      <c r="I13" s="605"/>
      <c r="J13" s="606"/>
      <c r="K13" s="346"/>
      <c r="L13" s="386" t="str">
        <f>CONCATENATE(H32,K32)</f>
        <v>103,582934 nA</v>
      </c>
      <c r="M13" s="346"/>
      <c r="N13" s="599"/>
      <c r="O13" s="600"/>
      <c r="P13" s="385"/>
      <c r="Q13" s="346"/>
      <c r="R13" s="354"/>
      <c r="S13" s="353"/>
      <c r="T13" s="343"/>
      <c r="U13" s="343"/>
      <c r="V13" s="347"/>
      <c r="W13" s="340"/>
      <c r="X13" s="340"/>
      <c r="Y13" s="340"/>
      <c r="Z13" s="340"/>
      <c r="AA13" s="340"/>
    </row>
    <row r="14" spans="1:27" ht="17.45" customHeight="1">
      <c r="A14" s="342"/>
      <c r="B14" s="343"/>
      <c r="C14" s="343"/>
      <c r="D14" s="387"/>
      <c r="E14" s="344"/>
      <c r="F14" s="344"/>
      <c r="G14" s="345"/>
      <c r="H14" s="345"/>
      <c r="I14" s="373"/>
      <c r="J14" s="388"/>
      <c r="K14" s="345"/>
      <c r="L14" s="345"/>
      <c r="M14" s="345"/>
      <c r="N14" s="373"/>
      <c r="O14" s="372"/>
      <c r="P14" s="345"/>
      <c r="Q14" s="345"/>
      <c r="R14" s="389"/>
      <c r="S14" s="390"/>
      <c r="T14" s="343"/>
      <c r="U14" s="343"/>
      <c r="V14" s="347"/>
      <c r="W14" s="340"/>
      <c r="X14" s="340"/>
      <c r="Y14" s="340"/>
      <c r="Z14" s="340"/>
      <c r="AA14" s="340"/>
    </row>
    <row r="15" spans="1:27" ht="17.45" customHeight="1">
      <c r="A15" s="342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91" t="s">
        <v>78</v>
      </c>
      <c r="M15" s="343"/>
      <c r="N15" s="343"/>
      <c r="O15" s="343"/>
      <c r="P15" s="343"/>
      <c r="Q15" s="343"/>
      <c r="R15" s="343"/>
      <c r="S15" s="343"/>
      <c r="T15" s="343"/>
      <c r="U15" s="343"/>
      <c r="V15" s="347"/>
      <c r="W15" s="340"/>
      <c r="X15" s="340"/>
      <c r="Y15" s="340"/>
      <c r="Z15" s="340"/>
      <c r="AA15" s="340"/>
    </row>
    <row r="16" spans="1:27" ht="17.45" customHeight="1">
      <c r="A16" s="342"/>
      <c r="B16" s="343"/>
      <c r="C16" s="343"/>
      <c r="D16" s="343"/>
      <c r="E16" s="616" t="s">
        <v>50</v>
      </c>
      <c r="F16" s="616"/>
      <c r="G16" s="616"/>
      <c r="H16" s="616"/>
      <c r="I16" s="616"/>
      <c r="J16" s="616"/>
      <c r="K16" s="343"/>
      <c r="L16" s="392">
        <f>+B8*(H12/(H5+H12))</f>
        <v>2.5017241379310344</v>
      </c>
      <c r="M16" s="343" t="s">
        <v>6</v>
      </c>
      <c r="N16" s="343"/>
      <c r="O16" s="343"/>
      <c r="P16" s="393" t="s">
        <v>259</v>
      </c>
      <c r="Q16" s="343"/>
      <c r="R16" s="343"/>
      <c r="S16" s="343"/>
      <c r="T16" s="343"/>
      <c r="U16" s="343"/>
      <c r="V16" s="347"/>
      <c r="W16" s="340"/>
      <c r="X16" s="340"/>
      <c r="Y16" s="340"/>
      <c r="Z16" s="340"/>
      <c r="AA16" s="340"/>
    </row>
    <row r="17" spans="1:27" ht="17.45" customHeight="1">
      <c r="A17" s="342"/>
      <c r="B17" s="343"/>
      <c r="C17" s="343"/>
      <c r="D17" s="343"/>
      <c r="E17" s="616" t="s">
        <v>51</v>
      </c>
      <c r="F17" s="616"/>
      <c r="G17" s="616"/>
      <c r="H17" s="616"/>
      <c r="I17" s="616"/>
      <c r="J17" s="616"/>
      <c r="K17" s="343" t="s">
        <v>52</v>
      </c>
      <c r="L17" s="392">
        <f>+H5*H12/(H5+H12)</f>
        <v>144.99993103448276</v>
      </c>
      <c r="M17" s="343" t="s">
        <v>13</v>
      </c>
      <c r="N17" s="343"/>
      <c r="O17" s="343"/>
      <c r="P17" s="343" t="s">
        <v>115</v>
      </c>
      <c r="Q17" s="343"/>
      <c r="R17" s="343"/>
      <c r="S17" s="343"/>
      <c r="T17" s="343"/>
      <c r="U17" s="393"/>
      <c r="V17" s="347"/>
      <c r="W17" s="340"/>
      <c r="X17" s="340"/>
      <c r="Y17" s="340"/>
      <c r="Z17" s="340"/>
      <c r="AA17" s="340"/>
    </row>
    <row r="18" spans="1:27" ht="17.45" customHeight="1">
      <c r="A18" s="342"/>
      <c r="B18" s="343"/>
      <c r="C18" s="343"/>
      <c r="D18" s="343"/>
      <c r="E18" s="616" t="s">
        <v>180</v>
      </c>
      <c r="F18" s="616"/>
      <c r="G18" s="616"/>
      <c r="H18" s="616"/>
      <c r="I18" s="616"/>
      <c r="J18" s="616"/>
      <c r="K18" s="343"/>
      <c r="L18" s="392">
        <f>+U8*(P12/(P5+P12))</f>
        <v>2.4982758620689656</v>
      </c>
      <c r="M18" s="343" t="s">
        <v>6</v>
      </c>
      <c r="N18" s="343"/>
      <c r="O18" s="343"/>
      <c r="P18" s="343"/>
      <c r="Q18" s="343"/>
      <c r="R18" s="343"/>
      <c r="S18" s="343"/>
      <c r="T18" s="343"/>
      <c r="U18" s="343"/>
      <c r="V18" s="347"/>
      <c r="W18" s="340"/>
      <c r="X18" s="394"/>
      <c r="Y18" s="340"/>
      <c r="Z18" s="340"/>
      <c r="AA18" s="340"/>
    </row>
    <row r="19" spans="1:27" ht="17.45" customHeight="1">
      <c r="A19" s="342"/>
      <c r="B19" s="343"/>
      <c r="C19" s="343"/>
      <c r="D19" s="343"/>
      <c r="E19" s="616" t="s">
        <v>181</v>
      </c>
      <c r="F19" s="616"/>
      <c r="G19" s="616"/>
      <c r="H19" s="616"/>
      <c r="I19" s="616"/>
      <c r="J19" s="616"/>
      <c r="K19" s="343" t="s">
        <v>182</v>
      </c>
      <c r="L19" s="392">
        <f>+P5*P12/(P5+P12)</f>
        <v>144.99993103448276</v>
      </c>
      <c r="M19" s="343" t="s">
        <v>13</v>
      </c>
      <c r="N19" s="343"/>
      <c r="O19" s="343"/>
      <c r="P19" s="343"/>
      <c r="Q19" s="343"/>
      <c r="R19" s="343"/>
      <c r="S19" s="343"/>
      <c r="T19" s="343"/>
      <c r="U19" s="343"/>
      <c r="V19" s="347"/>
      <c r="W19" s="340"/>
      <c r="X19" s="340"/>
      <c r="Y19" s="340"/>
      <c r="Z19" s="340"/>
      <c r="AA19" s="340"/>
    </row>
    <row r="20" spans="1:27" ht="17.45" customHeight="1">
      <c r="A20" s="342"/>
      <c r="B20" s="343"/>
      <c r="C20" s="343"/>
      <c r="D20" s="343"/>
      <c r="E20" s="376"/>
      <c r="F20" s="376"/>
      <c r="G20" s="376"/>
      <c r="H20" s="376"/>
      <c r="I20" s="376"/>
      <c r="J20" s="376"/>
      <c r="K20" s="343"/>
      <c r="L20" s="395"/>
      <c r="M20" s="343"/>
      <c r="N20" s="343"/>
      <c r="O20" s="343"/>
      <c r="P20" s="343"/>
      <c r="Q20" s="343"/>
      <c r="R20" s="343"/>
      <c r="S20" s="343"/>
      <c r="T20" s="343"/>
      <c r="U20" s="343"/>
      <c r="V20" s="347"/>
      <c r="W20" s="340"/>
      <c r="X20" s="340"/>
      <c r="Y20" s="340"/>
      <c r="Z20" s="340"/>
      <c r="AA20" s="340"/>
    </row>
    <row r="21" spans="1:27" ht="17.45" customHeight="1" thickBot="1">
      <c r="A21" s="342"/>
      <c r="B21" s="343"/>
      <c r="C21" s="343"/>
      <c r="D21" s="343"/>
      <c r="E21" s="343"/>
      <c r="F21" s="343"/>
      <c r="G21" s="343"/>
      <c r="H21" s="385">
        <f>+L17</f>
        <v>144.99993103448276</v>
      </c>
      <c r="I21" s="346"/>
      <c r="J21" s="346"/>
      <c r="K21" s="346"/>
      <c r="L21" s="362">
        <f>+L7</f>
        <v>33000</v>
      </c>
      <c r="M21" s="346"/>
      <c r="N21" s="346"/>
      <c r="O21" s="346"/>
      <c r="P21" s="385">
        <f>+L19</f>
        <v>144.99993103448276</v>
      </c>
      <c r="Q21" s="343"/>
      <c r="R21" s="343"/>
      <c r="S21" s="343"/>
      <c r="T21" s="343"/>
      <c r="U21" s="343"/>
      <c r="V21" s="347"/>
      <c r="W21" s="340"/>
      <c r="X21" s="396"/>
      <c r="Y21" s="340"/>
      <c r="Z21" s="340"/>
      <c r="AA21" s="340"/>
    </row>
    <row r="22" spans="1:27" ht="17.45" customHeight="1">
      <c r="A22" s="342"/>
      <c r="B22" s="343"/>
      <c r="C22" s="343"/>
      <c r="D22" s="344"/>
      <c r="E22" s="344"/>
      <c r="F22" s="344"/>
      <c r="G22" s="344"/>
      <c r="H22" s="614" t="s">
        <v>53</v>
      </c>
      <c r="I22" s="617" t="s">
        <v>6</v>
      </c>
      <c r="J22" s="618"/>
      <c r="K22" s="619"/>
      <c r="L22" s="614" t="s">
        <v>14</v>
      </c>
      <c r="M22" s="617" t="s">
        <v>6</v>
      </c>
      <c r="N22" s="618"/>
      <c r="O22" s="619"/>
      <c r="P22" s="614" t="s">
        <v>54</v>
      </c>
      <c r="Q22" s="344"/>
      <c r="R22" s="344"/>
      <c r="S22" s="344"/>
      <c r="T22" s="343"/>
      <c r="U22" s="343"/>
      <c r="V22" s="347"/>
      <c r="W22" s="340"/>
      <c r="X22" s="340"/>
      <c r="Y22" s="340"/>
      <c r="Z22" s="340"/>
      <c r="AA22" s="340"/>
    </row>
    <row r="23" spans="1:27" ht="17.45" customHeight="1" thickBot="1">
      <c r="A23" s="342"/>
      <c r="B23" s="343"/>
      <c r="C23" s="343"/>
      <c r="D23" s="397"/>
      <c r="E23" s="343"/>
      <c r="F23" s="343"/>
      <c r="G23" s="343"/>
      <c r="H23" s="615"/>
      <c r="I23" s="624">
        <f>+B25-H27</f>
        <v>2.5017091184127329</v>
      </c>
      <c r="J23" s="624"/>
      <c r="K23" s="624"/>
      <c r="L23" s="615"/>
      <c r="M23" s="625">
        <f>+U25+P27</f>
        <v>2.4982908815872671</v>
      </c>
      <c r="N23" s="625"/>
      <c r="O23" s="625"/>
      <c r="P23" s="615"/>
      <c r="Q23" s="343"/>
      <c r="R23" s="343"/>
      <c r="S23" s="398"/>
      <c r="T23" s="343"/>
      <c r="U23" s="343"/>
      <c r="V23" s="347"/>
      <c r="W23" s="340"/>
      <c r="X23" s="340"/>
      <c r="Y23" s="340"/>
      <c r="Z23" s="340"/>
      <c r="AA23" s="340"/>
    </row>
    <row r="24" spans="1:27" ht="17.45" customHeight="1">
      <c r="A24" s="363"/>
      <c r="B24" s="355" t="s">
        <v>6</v>
      </c>
      <c r="C24" s="364" t="str">
        <f>+C7</f>
        <v>+</v>
      </c>
      <c r="D24" s="365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64" t="str">
        <f>+S7</f>
        <v>+</v>
      </c>
      <c r="T24" s="365"/>
      <c r="U24" s="358" t="s">
        <v>6</v>
      </c>
      <c r="V24" s="368"/>
      <c r="W24" s="340"/>
      <c r="X24" s="340"/>
      <c r="Y24" s="340"/>
      <c r="Z24" s="340"/>
      <c r="AA24" s="340"/>
    </row>
    <row r="25" spans="1:27" ht="17.45" customHeight="1">
      <c r="A25" s="358" t="s">
        <v>46</v>
      </c>
      <c r="B25" s="399">
        <f>+L16</f>
        <v>2.5017241379310344</v>
      </c>
      <c r="C25" s="342"/>
      <c r="D25" s="347"/>
      <c r="E25" s="343"/>
      <c r="F25" s="343"/>
      <c r="G25" s="343"/>
      <c r="H25" s="343"/>
      <c r="I25" s="343"/>
      <c r="J25" s="343"/>
      <c r="K25" s="607" t="s">
        <v>118</v>
      </c>
      <c r="L25" s="607"/>
      <c r="M25" s="607"/>
      <c r="N25" s="343"/>
      <c r="O25" s="343"/>
      <c r="P25" s="343"/>
      <c r="Q25" s="343"/>
      <c r="R25" s="343"/>
      <c r="S25" s="342"/>
      <c r="T25" s="347"/>
      <c r="U25" s="400">
        <f>+L18</f>
        <v>2.4982758620689656</v>
      </c>
      <c r="V25" s="355" t="s">
        <v>47</v>
      </c>
      <c r="W25" s="340"/>
      <c r="X25" s="340"/>
      <c r="Y25" s="340"/>
      <c r="Z25" s="340"/>
      <c r="AA25" s="340"/>
    </row>
    <row r="26" spans="1:27" ht="17.45" customHeight="1">
      <c r="A26" s="363"/>
      <c r="B26" s="401"/>
      <c r="C26" s="342"/>
      <c r="D26" s="347"/>
      <c r="E26" s="343"/>
      <c r="F26" s="343"/>
      <c r="G26" s="343"/>
      <c r="H26" s="346" t="s">
        <v>6</v>
      </c>
      <c r="I26" s="346"/>
      <c r="J26" s="346"/>
      <c r="K26" s="346"/>
      <c r="L26" s="346" t="s">
        <v>6</v>
      </c>
      <c r="M26" s="346"/>
      <c r="N26" s="346"/>
      <c r="O26" s="346"/>
      <c r="P26" s="346" t="s">
        <v>6</v>
      </c>
      <c r="Q26" s="343"/>
      <c r="R26" s="343"/>
      <c r="S26" s="342"/>
      <c r="T26" s="347"/>
      <c r="U26" s="402"/>
      <c r="V26" s="368"/>
      <c r="W26" s="340"/>
      <c r="X26" s="340"/>
      <c r="Y26" s="340"/>
      <c r="Z26" s="340"/>
      <c r="AA26" s="340"/>
    </row>
    <row r="27" spans="1:27" ht="17.45" customHeight="1" thickBot="1">
      <c r="A27" s="342"/>
      <c r="B27" s="343"/>
      <c r="C27" s="382"/>
      <c r="D27" s="383"/>
      <c r="E27" s="343"/>
      <c r="F27" s="343"/>
      <c r="G27" s="343"/>
      <c r="H27" s="403">
        <f>+L32*H21</f>
        <v>1.5019518301577478E-5</v>
      </c>
      <c r="I27" s="404"/>
      <c r="J27" s="404"/>
      <c r="K27" s="404"/>
      <c r="L27" s="405">
        <f>+L32*L21</f>
        <v>3.4182368254657069E-3</v>
      </c>
      <c r="M27" s="404"/>
      <c r="N27" s="404"/>
      <c r="O27" s="404"/>
      <c r="P27" s="403">
        <f>+L32*P21</f>
        <v>1.5019518301577478E-5</v>
      </c>
      <c r="Q27" s="343"/>
      <c r="R27" s="343"/>
      <c r="S27" s="382"/>
      <c r="T27" s="383"/>
      <c r="U27" s="343"/>
      <c r="V27" s="347"/>
      <c r="W27" s="340"/>
      <c r="X27" s="406"/>
      <c r="Y27" s="340"/>
      <c r="Z27" s="340"/>
      <c r="AA27" s="340"/>
    </row>
    <row r="28" spans="1:27" ht="17.45" customHeight="1">
      <c r="A28" s="342"/>
      <c r="B28" s="343"/>
      <c r="C28" s="343"/>
      <c r="D28" s="407"/>
      <c r="E28" s="344"/>
      <c r="F28" s="344"/>
      <c r="G28" s="344"/>
      <c r="H28" s="344"/>
      <c r="I28" s="344"/>
      <c r="J28" s="344"/>
      <c r="K28" s="344"/>
      <c r="L28" s="408">
        <f>+H8-P8</f>
        <v>3.4182368254658257E-3</v>
      </c>
      <c r="M28" s="344"/>
      <c r="N28" s="344"/>
      <c r="O28" s="344"/>
      <c r="P28" s="344"/>
      <c r="Q28" s="344"/>
      <c r="R28" s="344"/>
      <c r="S28" s="409"/>
      <c r="T28" s="343"/>
      <c r="U28" s="343"/>
      <c r="V28" s="347"/>
      <c r="W28" s="340"/>
      <c r="X28" s="340"/>
      <c r="Y28" s="340"/>
      <c r="Z28" s="340"/>
      <c r="AA28" s="340"/>
    </row>
    <row r="29" spans="1:27" ht="17.45" customHeight="1">
      <c r="A29" s="342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7"/>
      <c r="W29" s="340"/>
      <c r="X29" s="340"/>
      <c r="Y29" s="340"/>
      <c r="Z29" s="340"/>
      <c r="AA29" s="340"/>
    </row>
    <row r="30" spans="1:27" ht="17.45" customHeight="1">
      <c r="A30" s="342"/>
      <c r="B30" s="343"/>
      <c r="C30" s="343"/>
      <c r="D30" s="343"/>
      <c r="E30" s="343" t="s">
        <v>183</v>
      </c>
      <c r="F30" s="343"/>
      <c r="G30" s="343"/>
      <c r="H30" s="395">
        <f>+H21+L21+P21</f>
        <v>33289.999862068958</v>
      </c>
      <c r="I30" s="343"/>
      <c r="J30" s="343"/>
      <c r="K30" s="343" t="s">
        <v>13</v>
      </c>
      <c r="L30" s="343"/>
      <c r="M30" s="623"/>
      <c r="N30" s="623"/>
      <c r="O30" s="623"/>
      <c r="P30" s="623"/>
      <c r="Q30" s="623"/>
      <c r="R30" s="623"/>
      <c r="S30" s="623"/>
      <c r="T30" s="623"/>
      <c r="U30" s="343"/>
      <c r="V30" s="347"/>
      <c r="W30" s="340"/>
      <c r="X30" s="340"/>
      <c r="Y30" s="340"/>
      <c r="Z30" s="340"/>
      <c r="AA30" s="340"/>
    </row>
    <row r="31" spans="1:27" ht="17.45" customHeight="1">
      <c r="A31" s="342"/>
      <c r="B31" s="343"/>
      <c r="C31" s="343"/>
      <c r="D31" s="343"/>
      <c r="E31" s="343" t="s">
        <v>55</v>
      </c>
      <c r="F31" s="343"/>
      <c r="G31" s="343"/>
      <c r="H31" s="410">
        <f>+B25-U25</f>
        <v>3.4482758620688614E-3</v>
      </c>
      <c r="I31" s="343"/>
      <c r="J31" s="343"/>
      <c r="K31" s="343" t="s">
        <v>6</v>
      </c>
      <c r="L31" s="411"/>
      <c r="M31" s="623" t="s">
        <v>56</v>
      </c>
      <c r="N31" s="623"/>
      <c r="O31" s="623"/>
      <c r="P31" s="623"/>
      <c r="Q31" s="623"/>
      <c r="R31" s="623"/>
      <c r="S31" s="623"/>
      <c r="T31" s="623"/>
      <c r="U31" s="412"/>
      <c r="V31" s="347"/>
      <c r="W31" s="340"/>
      <c r="X31" s="340"/>
      <c r="Y31" s="340"/>
      <c r="Z31" s="340"/>
      <c r="AA31" s="340"/>
    </row>
    <row r="32" spans="1:27" ht="17.45" customHeight="1">
      <c r="A32" s="342"/>
      <c r="B32" s="343"/>
      <c r="C32" s="343"/>
      <c r="D32" s="343"/>
      <c r="E32" s="343" t="s">
        <v>57</v>
      </c>
      <c r="F32" s="343"/>
      <c r="G32" s="343"/>
      <c r="H32" s="107">
        <f>+ROUND(L32*10^9,6)</f>
        <v>103.58293399999999</v>
      </c>
      <c r="I32" s="343"/>
      <c r="J32" s="343"/>
      <c r="K32" s="343" t="s">
        <v>106</v>
      </c>
      <c r="L32" s="413">
        <f>+H31/H30</f>
        <v>1.0358293410502143E-7</v>
      </c>
      <c r="M32" s="626" t="s">
        <v>58</v>
      </c>
      <c r="N32" s="626"/>
      <c r="O32" s="626"/>
      <c r="P32" s="626"/>
      <c r="Q32" s="626"/>
      <c r="R32" s="626"/>
      <c r="S32" s="626"/>
      <c r="T32" s="626"/>
      <c r="U32" s="343"/>
      <c r="V32" s="23"/>
      <c r="W32" s="340"/>
      <c r="X32" s="340"/>
      <c r="Y32" s="340"/>
      <c r="Z32" s="340"/>
      <c r="AA32" s="340"/>
    </row>
    <row r="33" spans="1:27" ht="17.45" customHeight="1">
      <c r="A33" s="342"/>
      <c r="B33" s="343"/>
      <c r="C33" s="343"/>
      <c r="D33" s="343"/>
      <c r="E33" s="343" t="s">
        <v>184</v>
      </c>
      <c r="F33" s="343"/>
      <c r="G33" s="343"/>
      <c r="H33" s="107">
        <f>+ROUND(L33*10^9,6)</f>
        <v>0.35407100000000002</v>
      </c>
      <c r="I33" s="343"/>
      <c r="J33" s="343"/>
      <c r="K33" s="343" t="s">
        <v>107</v>
      </c>
      <c r="L33" s="413">
        <f>+L32*L32*L7</f>
        <v>3.5407099984757197E-10</v>
      </c>
      <c r="M33" s="627" t="s">
        <v>59</v>
      </c>
      <c r="N33" s="627"/>
      <c r="O33" s="627"/>
      <c r="P33" s="627"/>
      <c r="Q33" s="627"/>
      <c r="R33" s="627"/>
      <c r="S33" s="627"/>
      <c r="T33" s="627"/>
      <c r="U33" s="343"/>
      <c r="V33" s="24"/>
      <c r="W33" s="340"/>
      <c r="X33" s="340"/>
      <c r="Y33" s="340"/>
      <c r="Z33" s="340"/>
      <c r="AA33" s="340"/>
    </row>
    <row r="34" spans="1:27" ht="17.45" customHeight="1" thickBot="1">
      <c r="A34" s="414" t="str">
        <f>+WB!A32</f>
        <v>walter</v>
      </c>
      <c r="B34" s="415"/>
      <c r="C34" s="415"/>
      <c r="D34" s="415"/>
      <c r="E34" s="415"/>
      <c r="F34" s="415"/>
      <c r="G34" s="415"/>
      <c r="H34" s="416"/>
      <c r="I34" s="415"/>
      <c r="J34" s="415"/>
      <c r="K34" s="415"/>
      <c r="L34" s="417"/>
      <c r="M34" s="418"/>
      <c r="N34" s="415"/>
      <c r="O34" s="415"/>
      <c r="P34" s="415"/>
      <c r="Q34" s="415"/>
      <c r="R34" s="415"/>
      <c r="S34" s="415"/>
      <c r="T34" s="415"/>
      <c r="U34" s="628" t="str">
        <f>+WB!X32</f>
        <v>Reg. No. 1248</v>
      </c>
      <c r="V34" s="629"/>
      <c r="W34" s="340"/>
      <c r="X34" s="340"/>
      <c r="Y34" s="340"/>
      <c r="Z34" s="340"/>
      <c r="AA34" s="340"/>
    </row>
    <row r="35" spans="1:27" ht="17.45" customHeight="1">
      <c r="A35" s="630" t="s">
        <v>44</v>
      </c>
      <c r="B35" s="631"/>
      <c r="C35" s="631"/>
      <c r="D35" s="631"/>
      <c r="E35" s="631"/>
      <c r="F35" s="631"/>
      <c r="G35" s="631"/>
      <c r="H35" s="631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2"/>
      <c r="W35" s="340"/>
      <c r="X35" s="340"/>
      <c r="Y35" s="340"/>
      <c r="Z35" s="340"/>
      <c r="AA35" s="340"/>
    </row>
    <row r="36" spans="1:27" ht="17.45" customHeight="1">
      <c r="A36" s="620" t="s">
        <v>60</v>
      </c>
      <c r="B36" s="621"/>
      <c r="C36" s="621"/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2"/>
      <c r="W36" s="340"/>
      <c r="X36" s="340"/>
      <c r="Y36" s="340"/>
      <c r="Z36" s="340"/>
      <c r="AA36" s="340"/>
    </row>
    <row r="37" spans="1:27" ht="17.45" customHeight="1">
      <c r="A37" s="620" t="s">
        <v>185</v>
      </c>
      <c r="B37" s="621"/>
      <c r="C37" s="621"/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2"/>
      <c r="W37" s="340"/>
      <c r="X37" s="340"/>
      <c r="Y37" s="340"/>
      <c r="Z37" s="340"/>
      <c r="AA37" s="340"/>
    </row>
    <row r="38" spans="1:27" ht="17.45" customHeight="1">
      <c r="A38" s="620" t="s">
        <v>186</v>
      </c>
      <c r="B38" s="621"/>
      <c r="C38" s="621"/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2"/>
      <c r="W38" s="340"/>
      <c r="X38" s="340"/>
      <c r="Y38" s="340"/>
      <c r="Z38" s="340"/>
      <c r="AA38" s="340"/>
    </row>
    <row r="39" spans="1:27" ht="17.45" customHeight="1">
      <c r="A39" s="620" t="s">
        <v>187</v>
      </c>
      <c r="B39" s="621"/>
      <c r="C39" s="621"/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2"/>
      <c r="W39" s="340"/>
      <c r="X39" s="340"/>
      <c r="Y39" s="340"/>
      <c r="Z39" s="340"/>
      <c r="AA39" s="340"/>
    </row>
    <row r="40" spans="1:27" ht="17.45" customHeight="1">
      <c r="A40" s="620" t="s">
        <v>61</v>
      </c>
      <c r="B40" s="621"/>
      <c r="C40" s="621"/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2"/>
      <c r="W40" s="340"/>
      <c r="X40" s="340"/>
      <c r="Y40" s="340"/>
      <c r="Z40" s="340"/>
      <c r="AA40" s="340"/>
    </row>
    <row r="41" spans="1:27" ht="17.45" customHeight="1">
      <c r="A41" s="620" t="s">
        <v>62</v>
      </c>
      <c r="B41" s="621"/>
      <c r="C41" s="621"/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2"/>
      <c r="W41" s="340"/>
      <c r="X41" s="340"/>
      <c r="Y41" s="340"/>
      <c r="Z41" s="340"/>
      <c r="AA41" s="340"/>
    </row>
    <row r="42" spans="1:27" ht="17.45" customHeight="1" thickBot="1">
      <c r="A42" s="419" t="s">
        <v>102</v>
      </c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1"/>
      <c r="W42" s="340"/>
      <c r="X42" s="340"/>
      <c r="Y42" s="340"/>
      <c r="Z42" s="340"/>
      <c r="AA42" s="340"/>
    </row>
    <row r="43" spans="1:27">
      <c r="A43" s="340"/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</row>
    <row r="44" spans="1:27">
      <c r="A44" s="340"/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</row>
    <row r="45" spans="1:27">
      <c r="A45" s="340"/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</row>
    <row r="46" spans="1:27">
      <c r="A46" s="340"/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</row>
    <row r="47" spans="1:27">
      <c r="A47" s="340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</row>
    <row r="48" spans="1:27">
      <c r="A48" s="340"/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</row>
    <row r="49" spans="1:27">
      <c r="A49" s="340"/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/>
    </row>
    <row r="50" spans="1:27">
      <c r="A50" s="340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</row>
    <row r="51" spans="1:27">
      <c r="A51" s="340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</row>
  </sheetData>
  <mergeCells count="35">
    <mergeCell ref="A37:V37"/>
    <mergeCell ref="A38:V38"/>
    <mergeCell ref="A39:V39"/>
    <mergeCell ref="A40:V40"/>
    <mergeCell ref="A41:V41"/>
    <mergeCell ref="A36:V36"/>
    <mergeCell ref="M30:T30"/>
    <mergeCell ref="L22:L23"/>
    <mergeCell ref="M22:O22"/>
    <mergeCell ref="P22:P23"/>
    <mergeCell ref="I23:K23"/>
    <mergeCell ref="M23:O23"/>
    <mergeCell ref="M31:T31"/>
    <mergeCell ref="M32:T32"/>
    <mergeCell ref="M33:T33"/>
    <mergeCell ref="U34:V34"/>
    <mergeCell ref="A35:V35"/>
    <mergeCell ref="K25:M25"/>
    <mergeCell ref="E16:J16"/>
    <mergeCell ref="E17:J17"/>
    <mergeCell ref="E18:J18"/>
    <mergeCell ref="E19:J19"/>
    <mergeCell ref="H22:H23"/>
    <mergeCell ref="I22:K22"/>
    <mergeCell ref="J9:K10"/>
    <mergeCell ref="M9:M10"/>
    <mergeCell ref="I11:J13"/>
    <mergeCell ref="N11:O13"/>
    <mergeCell ref="L8:L9"/>
    <mergeCell ref="U1:V1"/>
    <mergeCell ref="I4:J6"/>
    <mergeCell ref="N4:O6"/>
    <mergeCell ref="G7:H7"/>
    <mergeCell ref="P7:Q7"/>
    <mergeCell ref="A1:S1"/>
  </mergeCells>
  <hyperlinks>
    <hyperlink ref="M32" r:id="rId1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51"/>
  <sheetViews>
    <sheetView workbookViewId="0">
      <selection sqref="A1:S1"/>
    </sheetView>
  </sheetViews>
  <sheetFormatPr defaultColWidth="8.85546875" defaultRowHeight="15.75"/>
  <cols>
    <col min="1" max="2" width="12.7109375" style="34" customWidth="1"/>
    <col min="3" max="4" width="3.7109375" style="34" customWidth="1"/>
    <col min="5" max="7" width="12.7109375" style="34" customWidth="1"/>
    <col min="8" max="8" width="14.7109375" style="34" customWidth="1"/>
    <col min="9" max="10" width="1.85546875" style="34" customWidth="1"/>
    <col min="11" max="11" width="14.7109375" style="34" customWidth="1"/>
    <col min="12" max="12" width="23.7109375" style="34" customWidth="1"/>
    <col min="13" max="13" width="14.7109375" style="34" customWidth="1"/>
    <col min="14" max="15" width="1.85546875" style="34" customWidth="1"/>
    <col min="16" max="16" width="14.7109375" style="34" customWidth="1"/>
    <col min="17" max="18" width="12.7109375" style="34" customWidth="1"/>
    <col min="19" max="20" width="3.7109375" style="34" customWidth="1"/>
    <col min="21" max="22" width="12.7109375" style="34" customWidth="1"/>
    <col min="23" max="23" width="8.85546875" style="34"/>
    <col min="24" max="25" width="12" style="34" bestFit="1" customWidth="1"/>
    <col min="26" max="16384" width="8.85546875" style="34"/>
  </cols>
  <sheetData>
    <row r="1" spans="1:27" ht="20.25" customHeight="1">
      <c r="A1" s="668" t="s">
        <v>237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228"/>
      <c r="U1" s="593" t="s">
        <v>111</v>
      </c>
      <c r="V1" s="594"/>
      <c r="W1" s="33"/>
      <c r="X1" s="33"/>
      <c r="Y1" s="33"/>
      <c r="Z1" s="33"/>
      <c r="AA1" s="33"/>
    </row>
    <row r="2" spans="1:27" ht="17.649999999999999" customHeight="1">
      <c r="A2" s="35"/>
      <c r="B2" s="36"/>
      <c r="C2" s="36"/>
      <c r="D2" s="37"/>
      <c r="E2" s="37"/>
      <c r="F2" s="37"/>
      <c r="G2" s="287"/>
      <c r="H2" s="287"/>
      <c r="I2" s="287"/>
      <c r="J2" s="290"/>
      <c r="K2" s="290"/>
      <c r="L2" s="290"/>
      <c r="M2" s="290"/>
      <c r="N2" s="290"/>
      <c r="O2" s="287"/>
      <c r="P2" s="287"/>
      <c r="Q2" s="287"/>
      <c r="R2" s="287"/>
      <c r="S2" s="37"/>
      <c r="T2" s="36"/>
      <c r="U2" s="36"/>
      <c r="V2" s="38"/>
      <c r="W2" s="33"/>
      <c r="X2" s="33"/>
      <c r="Y2" s="33"/>
      <c r="Z2" s="33"/>
      <c r="AA2" s="33"/>
    </row>
    <row r="3" spans="1:27" ht="17.649999999999999" customHeight="1" thickBot="1">
      <c r="A3" s="35"/>
      <c r="B3" s="36"/>
      <c r="C3" s="36"/>
      <c r="D3" s="39"/>
      <c r="E3" s="36"/>
      <c r="F3" s="36"/>
      <c r="G3" s="290"/>
      <c r="H3" s="55" t="s">
        <v>96</v>
      </c>
      <c r="I3" s="290"/>
      <c r="J3" s="40"/>
      <c r="K3" s="290"/>
      <c r="L3" s="284" t="s">
        <v>77</v>
      </c>
      <c r="M3" s="290"/>
      <c r="N3" s="41"/>
      <c r="O3" s="290"/>
      <c r="P3" s="290"/>
      <c r="Q3" s="290"/>
      <c r="R3" s="42"/>
      <c r="S3" s="43"/>
      <c r="T3" s="36"/>
      <c r="U3" s="290"/>
      <c r="V3" s="38"/>
      <c r="W3" s="33"/>
      <c r="X3" s="33"/>
      <c r="Y3" s="33"/>
      <c r="Z3" s="33"/>
      <c r="AA3" s="33"/>
    </row>
    <row r="4" spans="1:27" ht="17.649999999999999" customHeight="1">
      <c r="A4" s="35"/>
      <c r="B4" s="36"/>
      <c r="C4" s="36"/>
      <c r="D4" s="39"/>
      <c r="E4" s="36"/>
      <c r="F4" s="289" t="s">
        <v>119</v>
      </c>
      <c r="G4" s="44"/>
      <c r="H4" s="45" t="s">
        <v>13</v>
      </c>
      <c r="I4" s="662" t="s">
        <v>91</v>
      </c>
      <c r="J4" s="663"/>
      <c r="K4" s="290"/>
      <c r="L4" s="290"/>
      <c r="M4" s="290"/>
      <c r="N4" s="656" t="s">
        <v>3</v>
      </c>
      <c r="O4" s="657"/>
      <c r="P4" s="46" t="s">
        <v>13</v>
      </c>
      <c r="Q4" s="44"/>
      <c r="R4" s="44"/>
      <c r="S4" s="43"/>
      <c r="T4" s="36"/>
      <c r="U4" s="47"/>
      <c r="V4" s="38"/>
      <c r="W4" s="33"/>
      <c r="X4" s="33"/>
      <c r="Y4" s="33"/>
      <c r="Z4" s="33"/>
      <c r="AA4" s="33"/>
    </row>
    <row r="5" spans="1:27" ht="17.649999999999999" customHeight="1">
      <c r="A5" s="35"/>
      <c r="B5" s="36"/>
      <c r="C5" s="36"/>
      <c r="D5" s="39"/>
      <c r="E5" s="36"/>
      <c r="F5" s="118">
        <v>0.33029999999999998</v>
      </c>
      <c r="G5" s="290"/>
      <c r="H5" s="462">
        <f>+F6*F5</f>
        <v>33030</v>
      </c>
      <c r="I5" s="664"/>
      <c r="J5" s="665"/>
      <c r="K5" s="677" t="str">
        <f>IF(L11&lt;=0,"Pin2 må ikke være negativ","")</f>
        <v/>
      </c>
      <c r="L5" s="640"/>
      <c r="M5" s="678"/>
      <c r="N5" s="658"/>
      <c r="O5" s="659"/>
      <c r="P5" s="101">
        <f>+'Bro SG'!P5</f>
        <v>290.2</v>
      </c>
      <c r="Q5" s="290"/>
      <c r="R5" s="44"/>
      <c r="S5" s="43"/>
      <c r="T5" s="36"/>
      <c r="U5" s="48"/>
      <c r="V5" s="38"/>
      <c r="W5" s="33"/>
      <c r="X5" s="33"/>
      <c r="Y5" s="33"/>
      <c r="Z5" s="33"/>
      <c r="AA5" s="33"/>
    </row>
    <row r="6" spans="1:27" ht="17.649999999999999" customHeight="1" thickBot="1">
      <c r="A6" s="35"/>
      <c r="B6" s="36"/>
      <c r="C6" s="36"/>
      <c r="D6" s="39"/>
      <c r="E6" s="36"/>
      <c r="F6" s="422">
        <v>100000</v>
      </c>
      <c r="G6" s="290"/>
      <c r="H6" s="290"/>
      <c r="I6" s="666"/>
      <c r="J6" s="667"/>
      <c r="K6" s="290"/>
      <c r="L6" s="290" t="s">
        <v>13</v>
      </c>
      <c r="M6" s="290"/>
      <c r="N6" s="660"/>
      <c r="O6" s="661"/>
      <c r="P6" s="290"/>
      <c r="Q6" s="290"/>
      <c r="R6" s="44"/>
      <c r="S6" s="43"/>
      <c r="T6" s="36"/>
      <c r="U6" s="36"/>
      <c r="V6" s="38"/>
      <c r="W6" s="33"/>
      <c r="X6" s="33"/>
      <c r="Y6" s="33"/>
      <c r="Z6" s="33"/>
      <c r="AA6" s="33"/>
    </row>
    <row r="7" spans="1:27" ht="17.649999999999999" customHeight="1" thickBot="1">
      <c r="A7" s="49"/>
      <c r="B7" s="45" t="s">
        <v>6</v>
      </c>
      <c r="C7" s="50" t="str">
        <f>+IF(B8&gt;=0,"+","-")</f>
        <v>+</v>
      </c>
      <c r="D7" s="51"/>
      <c r="E7" s="463" t="s">
        <v>238</v>
      </c>
      <c r="F7" s="464">
        <f>100%-F5</f>
        <v>0.66969999999999996</v>
      </c>
      <c r="G7" s="465" t="s">
        <v>239</v>
      </c>
      <c r="H7" s="466" t="s">
        <v>6</v>
      </c>
      <c r="I7" s="290"/>
      <c r="J7" s="52"/>
      <c r="K7" s="290"/>
      <c r="L7" s="423">
        <v>33000</v>
      </c>
      <c r="M7" s="290"/>
      <c r="N7" s="41"/>
      <c r="O7" s="290"/>
      <c r="P7" s="676" t="s">
        <v>6</v>
      </c>
      <c r="Q7" s="676"/>
      <c r="R7" s="44"/>
      <c r="S7" s="50" t="str">
        <f>+IF(U8&gt;=0,"+","-")</f>
        <v>+</v>
      </c>
      <c r="T7" s="51"/>
      <c r="U7" s="46" t="s">
        <v>6</v>
      </c>
      <c r="V7" s="53"/>
      <c r="W7" s="33"/>
      <c r="X7" s="33"/>
      <c r="Y7" s="33"/>
      <c r="Z7" s="33"/>
      <c r="AA7" s="33"/>
    </row>
    <row r="8" spans="1:27" ht="17.649999999999999" customHeight="1">
      <c r="A8" s="54" t="s">
        <v>45</v>
      </c>
      <c r="B8" s="99">
        <f>+'Bro SG'!B8</f>
        <v>5</v>
      </c>
      <c r="C8" s="35"/>
      <c r="D8" s="38"/>
      <c r="E8" s="36"/>
      <c r="F8" s="290" t="s">
        <v>120</v>
      </c>
      <c r="G8" s="55" t="s">
        <v>46</v>
      </c>
      <c r="H8" s="467">
        <f>+I23</f>
        <v>2.498668569241703</v>
      </c>
      <c r="I8" s="290"/>
      <c r="J8" s="56"/>
      <c r="K8" s="95" t="s">
        <v>94</v>
      </c>
      <c r="L8" s="670" t="s">
        <v>14</v>
      </c>
      <c r="M8" s="287"/>
      <c r="N8" s="57"/>
      <c r="O8" s="58"/>
      <c r="P8" s="424">
        <f>+M23</f>
        <v>2.4982775800509565</v>
      </c>
      <c r="Q8" s="285" t="s">
        <v>47</v>
      </c>
      <c r="R8" s="44"/>
      <c r="S8" s="35"/>
      <c r="T8" s="38"/>
      <c r="U8" s="102">
        <f>+'Bro SG'!U8</f>
        <v>5</v>
      </c>
      <c r="V8" s="286" t="s">
        <v>48</v>
      </c>
      <c r="W8" s="33"/>
      <c r="X8" s="33"/>
      <c r="Y8" s="33"/>
      <c r="Z8" s="33"/>
      <c r="AA8" s="33"/>
    </row>
    <row r="9" spans="1:27" ht="17.649999999999999" customHeight="1" thickBot="1">
      <c r="A9" s="49"/>
      <c r="B9" s="36"/>
      <c r="C9" s="35"/>
      <c r="D9" s="38"/>
      <c r="E9" s="36"/>
      <c r="F9" s="48">
        <f>+H5+H12</f>
        <v>66030</v>
      </c>
      <c r="G9" s="44"/>
      <c r="H9" s="94"/>
      <c r="I9" s="290"/>
      <c r="J9" s="672" t="str">
        <f>IF(P8=H8,"Ens",IF(H8&gt;P8,"Positiv",IF(H8&lt;P8,"Negativ","ERR")))</f>
        <v>Positiv</v>
      </c>
      <c r="K9" s="673"/>
      <c r="L9" s="671"/>
      <c r="M9" s="673" t="str">
        <f>IF(P8=H8,"Ens",IF(P8&gt;H8,"Positiv",IF(P8&lt;H8,"Negativ","ERR")))</f>
        <v>Negativ</v>
      </c>
      <c r="N9" s="59"/>
      <c r="O9" s="58"/>
      <c r="P9" s="378" t="s">
        <v>79</v>
      </c>
      <c r="Q9" s="288"/>
      <c r="R9" s="44"/>
      <c r="S9" s="35"/>
      <c r="T9" s="38"/>
      <c r="U9" s="36"/>
      <c r="V9" s="53"/>
      <c r="W9" s="33"/>
      <c r="X9" s="33"/>
      <c r="Y9" s="33"/>
      <c r="Z9" s="33"/>
      <c r="AA9" s="33"/>
    </row>
    <row r="10" spans="1:27" ht="17.649999999999999" customHeight="1" thickBot="1">
      <c r="A10" s="35"/>
      <c r="B10" s="36"/>
      <c r="C10" s="60"/>
      <c r="D10" s="61"/>
      <c r="E10" s="36"/>
      <c r="F10" s="36"/>
      <c r="G10" s="290"/>
      <c r="H10" s="290"/>
      <c r="I10" s="290"/>
      <c r="J10" s="674"/>
      <c r="K10" s="675"/>
      <c r="L10" s="440" t="s">
        <v>240</v>
      </c>
      <c r="M10" s="675"/>
      <c r="N10" s="62"/>
      <c r="O10" s="290"/>
      <c r="P10" s="290"/>
      <c r="Q10" s="290"/>
      <c r="R10" s="44"/>
      <c r="S10" s="60"/>
      <c r="T10" s="61"/>
      <c r="U10" s="36"/>
      <c r="V10" s="38"/>
      <c r="W10" s="33"/>
      <c r="X10" s="33"/>
      <c r="Y10" s="33"/>
      <c r="Z10" s="33"/>
      <c r="AA10" s="33"/>
    </row>
    <row r="11" spans="1:27" ht="17.649999999999999" customHeight="1">
      <c r="A11" s="35"/>
      <c r="B11" s="36"/>
      <c r="C11" s="36"/>
      <c r="D11" s="39"/>
      <c r="E11" s="36"/>
      <c r="F11" s="36"/>
      <c r="G11" s="44"/>
      <c r="H11" s="45" t="s">
        <v>13</v>
      </c>
      <c r="I11" s="656" t="s">
        <v>92</v>
      </c>
      <c r="J11" s="657"/>
      <c r="K11" s="290"/>
      <c r="L11" s="100">
        <f>+(I23-M23)*1000</f>
        <v>0.39098919074653793</v>
      </c>
      <c r="M11" s="290"/>
      <c r="N11" s="662" t="s">
        <v>29</v>
      </c>
      <c r="O11" s="663"/>
      <c r="P11" s="46" t="s">
        <v>13</v>
      </c>
      <c r="Q11" s="290"/>
      <c r="R11" s="44"/>
      <c r="S11" s="43"/>
      <c r="T11" s="36"/>
      <c r="U11" s="36"/>
      <c r="V11" s="38"/>
      <c r="W11" s="33"/>
      <c r="X11" s="33"/>
      <c r="Y11" s="33"/>
      <c r="Z11" s="33"/>
      <c r="AA11" s="33"/>
    </row>
    <row r="12" spans="1:27" ht="17.649999999999999" customHeight="1">
      <c r="A12" s="35"/>
      <c r="B12" s="36"/>
      <c r="C12" s="36"/>
      <c r="D12" s="39"/>
      <c r="E12" s="44"/>
      <c r="F12" s="44"/>
      <c r="G12" s="44"/>
      <c r="H12" s="461">
        <v>33000</v>
      </c>
      <c r="I12" s="658"/>
      <c r="J12" s="659"/>
      <c r="K12" s="290"/>
      <c r="L12" s="300" t="s">
        <v>191</v>
      </c>
      <c r="M12" s="290"/>
      <c r="N12" s="664"/>
      <c r="O12" s="665"/>
      <c r="P12" s="97">
        <f>+'Bro SG'!P12</f>
        <v>289.8</v>
      </c>
      <c r="Q12" s="290"/>
      <c r="R12" s="44"/>
      <c r="S12" s="43"/>
      <c r="T12" s="36"/>
      <c r="U12" s="36"/>
      <c r="V12" s="38"/>
      <c r="W12" s="33"/>
      <c r="X12" s="33"/>
      <c r="Y12" s="33"/>
      <c r="Z12" s="33"/>
      <c r="AA12" s="33"/>
    </row>
    <row r="13" spans="1:27" ht="17.649999999999999" customHeight="1" thickBot="1">
      <c r="A13" s="35"/>
      <c r="B13" s="36"/>
      <c r="C13" s="36"/>
      <c r="D13" s="39"/>
      <c r="E13" s="36"/>
      <c r="F13" s="36"/>
      <c r="G13" s="290"/>
      <c r="H13" s="63"/>
      <c r="I13" s="660"/>
      <c r="J13" s="661"/>
      <c r="K13" s="290"/>
      <c r="L13" s="98" t="str">
        <f>CONCATENATE(H32,K32)</f>
        <v>11,848 nA</v>
      </c>
      <c r="M13" s="290"/>
      <c r="N13" s="666"/>
      <c r="O13" s="667"/>
      <c r="P13" s="63"/>
      <c r="Q13" s="290"/>
      <c r="R13" s="44"/>
      <c r="S13" s="43"/>
      <c r="T13" s="36"/>
      <c r="U13" s="36"/>
      <c r="V13" s="38"/>
      <c r="W13" s="33"/>
      <c r="X13" s="33"/>
      <c r="Y13" s="33"/>
      <c r="Z13" s="33"/>
      <c r="AA13" s="33"/>
    </row>
    <row r="14" spans="1:27" ht="17.649999999999999" customHeight="1">
      <c r="A14" s="35"/>
      <c r="B14" s="36"/>
      <c r="C14" s="36"/>
      <c r="D14" s="64"/>
      <c r="E14" s="37"/>
      <c r="F14" s="37"/>
      <c r="G14" s="287"/>
      <c r="H14" s="96" t="s">
        <v>95</v>
      </c>
      <c r="I14" s="57"/>
      <c r="J14" s="65"/>
      <c r="K14" s="287"/>
      <c r="L14" s="287"/>
      <c r="M14" s="287"/>
      <c r="N14" s="57"/>
      <c r="O14" s="56"/>
      <c r="P14" s="287"/>
      <c r="Q14" s="287"/>
      <c r="R14" s="66"/>
      <c r="S14" s="67"/>
      <c r="T14" s="36"/>
      <c r="U14" s="36"/>
      <c r="V14" s="38"/>
      <c r="W14" s="33"/>
      <c r="X14" s="33"/>
      <c r="Y14" s="33"/>
      <c r="Z14" s="33"/>
      <c r="AA14" s="33"/>
    </row>
    <row r="15" spans="1:27" ht="17.649999999999999" customHeight="1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68" t="s">
        <v>78</v>
      </c>
      <c r="M15" s="36"/>
      <c r="N15" s="36"/>
      <c r="O15" s="36"/>
      <c r="P15" s="36"/>
      <c r="Q15" s="36"/>
      <c r="R15" s="36"/>
      <c r="S15" s="36"/>
      <c r="T15" s="36"/>
      <c r="U15" s="36"/>
      <c r="V15" s="38"/>
      <c r="W15" s="33"/>
      <c r="X15" s="33"/>
      <c r="Y15" s="33"/>
      <c r="Z15" s="33"/>
      <c r="AA15" s="33"/>
    </row>
    <row r="16" spans="1:27" ht="17.649999999999999" customHeight="1">
      <c r="A16" s="35"/>
      <c r="B16" s="36"/>
      <c r="C16" s="36"/>
      <c r="D16" s="36"/>
      <c r="E16" s="642" t="s">
        <v>103</v>
      </c>
      <c r="F16" s="642"/>
      <c r="G16" s="642"/>
      <c r="H16" s="642"/>
      <c r="I16" s="642"/>
      <c r="J16" s="642"/>
      <c r="K16" s="36"/>
      <c r="L16" s="88">
        <f>+B8*(H12/(H5+H12))</f>
        <v>2.498864152657883</v>
      </c>
      <c r="M16" s="36" t="s">
        <v>6</v>
      </c>
      <c r="N16" s="36"/>
      <c r="O16" s="36"/>
      <c r="P16" s="639" t="s">
        <v>243</v>
      </c>
      <c r="Q16" s="639"/>
      <c r="R16" s="103">
        <f>+'Bro SG'!P8</f>
        <v>2.4982908815872671</v>
      </c>
      <c r="S16" s="69"/>
      <c r="T16" s="640" t="s">
        <v>6</v>
      </c>
      <c r="U16" s="640"/>
      <c r="V16" s="38"/>
      <c r="W16" s="33"/>
      <c r="X16" s="33"/>
      <c r="Y16" s="33"/>
      <c r="Z16" s="33"/>
      <c r="AA16" s="33"/>
    </row>
    <row r="17" spans="1:27" ht="17.649999999999999" customHeight="1">
      <c r="A17" s="35"/>
      <c r="B17" s="36"/>
      <c r="C17" s="36"/>
      <c r="D17" s="36"/>
      <c r="E17" s="642" t="s">
        <v>104</v>
      </c>
      <c r="F17" s="642"/>
      <c r="G17" s="642"/>
      <c r="H17" s="642"/>
      <c r="I17" s="642"/>
      <c r="J17" s="642"/>
      <c r="K17" s="36" t="s">
        <v>105</v>
      </c>
      <c r="L17" s="88">
        <f>+H5*H12/(H5+H12)</f>
        <v>16507.496592457974</v>
      </c>
      <c r="M17" s="36" t="s">
        <v>13</v>
      </c>
      <c r="N17" s="36"/>
      <c r="O17" s="36"/>
      <c r="P17" s="641" t="s">
        <v>244</v>
      </c>
      <c r="Q17" s="641"/>
      <c r="R17" s="641"/>
      <c r="S17" s="641"/>
      <c r="T17" s="641"/>
      <c r="U17" s="641"/>
      <c r="V17" s="38"/>
      <c r="W17" s="33"/>
      <c r="X17" s="33"/>
      <c r="Y17" s="33"/>
      <c r="Z17" s="33"/>
      <c r="AA17" s="33"/>
    </row>
    <row r="18" spans="1:27" ht="17.649999999999999" customHeight="1">
      <c r="A18" s="35"/>
      <c r="B18" s="36"/>
      <c r="C18" s="36"/>
      <c r="D18" s="36"/>
      <c r="E18" s="642" t="s">
        <v>180</v>
      </c>
      <c r="F18" s="642"/>
      <c r="G18" s="642"/>
      <c r="H18" s="642"/>
      <c r="I18" s="642"/>
      <c r="J18" s="642"/>
      <c r="K18" s="36"/>
      <c r="L18" s="106">
        <f>+U8*(P12/(P5+P12))</f>
        <v>2.4982758620689656</v>
      </c>
      <c r="M18" s="36" t="s">
        <v>6</v>
      </c>
      <c r="N18" s="36"/>
      <c r="O18" s="36"/>
      <c r="P18" s="642" t="s">
        <v>101</v>
      </c>
      <c r="Q18" s="642"/>
      <c r="R18" s="642"/>
      <c r="S18" s="642"/>
      <c r="T18" s="642"/>
      <c r="U18" s="642"/>
      <c r="V18" s="643"/>
      <c r="W18" s="33"/>
      <c r="X18" s="70"/>
      <c r="Y18" s="33"/>
      <c r="Z18" s="33"/>
      <c r="AA18" s="33"/>
    </row>
    <row r="19" spans="1:27" ht="17.649999999999999" customHeight="1">
      <c r="A19" s="35"/>
      <c r="B19" s="36"/>
      <c r="C19" s="36"/>
      <c r="D19" s="36"/>
      <c r="E19" s="642" t="s">
        <v>181</v>
      </c>
      <c r="F19" s="642"/>
      <c r="G19" s="642"/>
      <c r="H19" s="642"/>
      <c r="I19" s="642"/>
      <c r="J19" s="642"/>
      <c r="K19" s="36" t="s">
        <v>182</v>
      </c>
      <c r="L19" s="88">
        <f>+P5*P12/(P5+P12)</f>
        <v>144.99993103448276</v>
      </c>
      <c r="M19" s="36" t="s">
        <v>13</v>
      </c>
      <c r="N19" s="36"/>
      <c r="O19" s="36"/>
      <c r="P19" s="642" t="s">
        <v>112</v>
      </c>
      <c r="Q19" s="642"/>
      <c r="R19" s="642"/>
      <c r="S19" s="642"/>
      <c r="T19" s="642"/>
      <c r="U19" s="642"/>
      <c r="V19" s="643"/>
      <c r="W19" s="33"/>
      <c r="X19" s="33"/>
      <c r="Y19" s="33"/>
      <c r="Z19" s="33"/>
      <c r="AA19" s="33"/>
    </row>
    <row r="20" spans="1:27" ht="17.649999999999999" customHeight="1">
      <c r="A20" s="35"/>
      <c r="B20" s="36"/>
      <c r="C20" s="36"/>
      <c r="D20" s="36"/>
      <c r="E20" s="285"/>
      <c r="F20" s="285"/>
      <c r="G20" s="285"/>
      <c r="H20" s="285"/>
      <c r="I20" s="285"/>
      <c r="J20" s="285"/>
      <c r="K20" s="36"/>
      <c r="L20" s="71"/>
      <c r="M20" s="36"/>
      <c r="N20" s="36"/>
      <c r="O20" s="36"/>
      <c r="P20" s="439" t="s">
        <v>242</v>
      </c>
      <c r="Q20" s="36"/>
      <c r="R20" s="36"/>
      <c r="S20" s="36"/>
      <c r="T20" s="36"/>
      <c r="U20" s="36"/>
      <c r="V20" s="38"/>
      <c r="W20" s="33"/>
      <c r="X20" s="33"/>
      <c r="Y20" s="33"/>
      <c r="Z20" s="33"/>
      <c r="AA20" s="33"/>
    </row>
    <row r="21" spans="1:27" ht="17.649999999999999" customHeight="1" thickBot="1">
      <c r="A21" s="35"/>
      <c r="B21" s="36"/>
      <c r="C21" s="36"/>
      <c r="D21" s="36"/>
      <c r="E21" s="36"/>
      <c r="F21" s="36"/>
      <c r="G21" s="36"/>
      <c r="H21" s="104">
        <f>+L17</f>
        <v>16507.496592457974</v>
      </c>
      <c r="I21" s="290"/>
      <c r="J21" s="290"/>
      <c r="K21" s="290"/>
      <c r="L21" s="48">
        <f>+L7</f>
        <v>33000</v>
      </c>
      <c r="M21" s="290"/>
      <c r="N21" s="290"/>
      <c r="O21" s="290"/>
      <c r="P21" s="63">
        <f>+L19</f>
        <v>144.99993103448276</v>
      </c>
      <c r="Q21" s="36"/>
      <c r="R21" s="36"/>
      <c r="S21" s="36"/>
      <c r="T21" s="36"/>
      <c r="U21" s="36"/>
      <c r="V21" s="38"/>
      <c r="W21" s="33"/>
      <c r="X21" s="72"/>
      <c r="Y21" s="33"/>
      <c r="Z21" s="33"/>
      <c r="AA21" s="33"/>
    </row>
    <row r="22" spans="1:27" ht="17.649999999999999" customHeight="1">
      <c r="A22" s="35"/>
      <c r="B22" s="36"/>
      <c r="C22" s="36"/>
      <c r="D22" s="37"/>
      <c r="E22" s="37"/>
      <c r="F22" s="37"/>
      <c r="G22" s="37"/>
      <c r="H22" s="644" t="s">
        <v>53</v>
      </c>
      <c r="I22" s="646" t="s">
        <v>6</v>
      </c>
      <c r="J22" s="647"/>
      <c r="K22" s="648"/>
      <c r="L22" s="644" t="s">
        <v>14</v>
      </c>
      <c r="M22" s="646" t="s">
        <v>6</v>
      </c>
      <c r="N22" s="647"/>
      <c r="O22" s="648"/>
      <c r="P22" s="644" t="s">
        <v>54</v>
      </c>
      <c r="Q22" s="37"/>
      <c r="R22" s="37"/>
      <c r="S22" s="37"/>
      <c r="T22" s="36"/>
      <c r="U22" s="36"/>
      <c r="V22" s="38"/>
      <c r="W22" s="33"/>
      <c r="X22" s="33"/>
      <c r="Y22" s="33"/>
      <c r="Z22" s="33"/>
      <c r="AA22" s="33"/>
    </row>
    <row r="23" spans="1:27" ht="17.649999999999999" customHeight="1" thickBot="1">
      <c r="A23" s="35"/>
      <c r="B23" s="36"/>
      <c r="C23" s="36"/>
      <c r="D23" s="73"/>
      <c r="E23" s="36"/>
      <c r="F23" s="36"/>
      <c r="G23" s="36"/>
      <c r="H23" s="645"/>
      <c r="I23" s="649">
        <f>+B25-H27</f>
        <v>2.498668569241703</v>
      </c>
      <c r="J23" s="649"/>
      <c r="K23" s="649"/>
      <c r="L23" s="645"/>
      <c r="M23" s="650">
        <f>+U25+P27</f>
        <v>2.4982775800509565</v>
      </c>
      <c r="N23" s="650"/>
      <c r="O23" s="650"/>
      <c r="P23" s="645"/>
      <c r="Q23" s="36"/>
      <c r="R23" s="36"/>
      <c r="S23" s="74"/>
      <c r="T23" s="36"/>
      <c r="U23" s="36"/>
      <c r="V23" s="38"/>
      <c r="W23" s="33"/>
      <c r="X23" s="33"/>
      <c r="Y23" s="33"/>
      <c r="Z23" s="33"/>
      <c r="AA23" s="33"/>
    </row>
    <row r="24" spans="1:27" ht="17.649999999999999" customHeight="1">
      <c r="A24" s="49"/>
      <c r="B24" s="45" t="s">
        <v>6</v>
      </c>
      <c r="C24" s="50" t="str">
        <f>+C7</f>
        <v>+</v>
      </c>
      <c r="D24" s="51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50" t="str">
        <f>+S7</f>
        <v>+</v>
      </c>
      <c r="T24" s="51"/>
      <c r="U24" s="46" t="s">
        <v>6</v>
      </c>
      <c r="V24" s="53"/>
      <c r="W24" s="33"/>
      <c r="X24" s="33"/>
      <c r="Y24" s="33"/>
      <c r="Z24" s="33"/>
      <c r="AA24" s="33"/>
    </row>
    <row r="25" spans="1:27" ht="17.649999999999999" customHeight="1">
      <c r="A25" s="54" t="s">
        <v>46</v>
      </c>
      <c r="B25" s="75">
        <f>+L16</f>
        <v>2.498864152657883</v>
      </c>
      <c r="C25" s="35"/>
      <c r="D25" s="38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5"/>
      <c r="T25" s="38"/>
      <c r="U25" s="76">
        <f>+L18</f>
        <v>2.4982758620689656</v>
      </c>
      <c r="V25" s="286" t="s">
        <v>47</v>
      </c>
      <c r="W25" s="33"/>
      <c r="X25" s="33"/>
      <c r="Y25" s="33"/>
      <c r="Z25" s="33"/>
      <c r="AA25" s="33"/>
    </row>
    <row r="26" spans="1:27" ht="17.649999999999999" customHeight="1">
      <c r="A26" s="49"/>
      <c r="B26" s="77"/>
      <c r="C26" s="35"/>
      <c r="D26" s="38"/>
      <c r="E26" s="36"/>
      <c r="F26" s="36"/>
      <c r="G26" s="36"/>
      <c r="H26" s="290" t="s">
        <v>6</v>
      </c>
      <c r="I26" s="290"/>
      <c r="J26" s="290"/>
      <c r="K26" s="290"/>
      <c r="L26" s="290" t="s">
        <v>6</v>
      </c>
      <c r="M26" s="290"/>
      <c r="N26" s="290"/>
      <c r="O26" s="290"/>
      <c r="P26" s="290" t="s">
        <v>6</v>
      </c>
      <c r="Q26" s="36"/>
      <c r="R26" s="36"/>
      <c r="S26" s="35"/>
      <c r="T26" s="38"/>
      <c r="U26" s="78"/>
      <c r="V26" s="53"/>
      <c r="W26" s="33"/>
      <c r="X26" s="33"/>
      <c r="Y26" s="33"/>
      <c r="Z26" s="33"/>
      <c r="AA26" s="33"/>
    </row>
    <row r="27" spans="1:27" ht="17.649999999999999" customHeight="1" thickBot="1">
      <c r="A27" s="35"/>
      <c r="B27" s="36"/>
      <c r="C27" s="60"/>
      <c r="D27" s="61"/>
      <c r="E27" s="36"/>
      <c r="F27" s="36"/>
      <c r="G27" s="36"/>
      <c r="H27" s="79">
        <f>+L32*H21</f>
        <v>1.9558341617997884E-4</v>
      </c>
      <c r="I27" s="80"/>
      <c r="J27" s="80"/>
      <c r="K27" s="80"/>
      <c r="L27" s="81">
        <f>+L32*L21</f>
        <v>3.909891907467152E-4</v>
      </c>
      <c r="M27" s="80"/>
      <c r="N27" s="80"/>
      <c r="O27" s="80"/>
      <c r="P27" s="79">
        <f>+L32*P21</f>
        <v>1.7179819907121796E-6</v>
      </c>
      <c r="Q27" s="36"/>
      <c r="R27" s="36"/>
      <c r="S27" s="60"/>
      <c r="T27" s="61"/>
      <c r="U27" s="36"/>
      <c r="V27" s="38"/>
      <c r="W27" s="33"/>
      <c r="X27" s="82"/>
      <c r="Y27" s="33"/>
      <c r="Z27" s="33"/>
      <c r="AA27" s="33"/>
    </row>
    <row r="28" spans="1:27" ht="17.649999999999999" customHeight="1">
      <c r="A28" s="35"/>
      <c r="B28" s="36"/>
      <c r="C28" s="36"/>
      <c r="D28" s="83"/>
      <c r="E28" s="37"/>
      <c r="F28" s="37"/>
      <c r="G28" s="37"/>
      <c r="H28" s="37"/>
      <c r="I28" s="37"/>
      <c r="J28" s="37"/>
      <c r="K28" s="37"/>
      <c r="L28" s="84">
        <f>+H8-P8</f>
        <v>3.9098919074653793E-4</v>
      </c>
      <c r="M28" s="37"/>
      <c r="N28" s="37"/>
      <c r="O28" s="37"/>
      <c r="P28" s="37"/>
      <c r="Q28" s="37"/>
      <c r="R28" s="37"/>
      <c r="S28" s="85"/>
      <c r="T28" s="36"/>
      <c r="U28" s="36"/>
      <c r="V28" s="38"/>
      <c r="W28" s="33"/>
      <c r="X28" s="33"/>
      <c r="Y28" s="33"/>
      <c r="Z28" s="33"/>
      <c r="AA28" s="33"/>
    </row>
    <row r="29" spans="1:27" ht="17.649999999999999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8"/>
      <c r="W29" s="33"/>
      <c r="X29" s="33"/>
      <c r="Y29" s="33"/>
      <c r="Z29" s="33"/>
      <c r="AA29" s="33"/>
    </row>
    <row r="30" spans="1:27" ht="17.649999999999999" customHeight="1">
      <c r="A30" s="35"/>
      <c r="B30" s="36"/>
      <c r="C30" s="36"/>
      <c r="D30" s="36"/>
      <c r="E30" s="36" t="s">
        <v>183</v>
      </c>
      <c r="F30" s="36"/>
      <c r="G30" s="36"/>
      <c r="H30" s="105">
        <f>+H21+L21+P21</f>
        <v>49652.496523492453</v>
      </c>
      <c r="I30" s="36"/>
      <c r="J30" s="36"/>
      <c r="K30" s="36" t="s">
        <v>13</v>
      </c>
      <c r="L30" s="36"/>
      <c r="M30" s="651"/>
      <c r="N30" s="651"/>
      <c r="O30" s="651"/>
      <c r="P30" s="651"/>
      <c r="Q30" s="651"/>
      <c r="R30" s="651"/>
      <c r="S30" s="651"/>
      <c r="T30" s="651"/>
      <c r="U30" s="36"/>
      <c r="V30" s="38"/>
      <c r="W30" s="33"/>
      <c r="X30" s="33"/>
      <c r="Y30" s="33"/>
      <c r="Z30" s="33"/>
      <c r="AA30" s="33"/>
    </row>
    <row r="31" spans="1:27" ht="17.649999999999999" customHeight="1">
      <c r="A31" s="35"/>
      <c r="B31" s="36"/>
      <c r="C31" s="36"/>
      <c r="D31" s="36"/>
      <c r="E31" s="36" t="s">
        <v>55</v>
      </c>
      <c r="F31" s="36"/>
      <c r="G31" s="36"/>
      <c r="H31" s="105">
        <f>+B25-U25</f>
        <v>5.8829058891740615E-4</v>
      </c>
      <c r="I31" s="36"/>
      <c r="J31" s="36"/>
      <c r="K31" s="36" t="s">
        <v>6</v>
      </c>
      <c r="L31" s="86"/>
      <c r="M31" s="651" t="s">
        <v>93</v>
      </c>
      <c r="N31" s="651"/>
      <c r="O31" s="651"/>
      <c r="P31" s="651"/>
      <c r="Q31" s="651"/>
      <c r="R31" s="651"/>
      <c r="S31" s="651"/>
      <c r="T31" s="651"/>
      <c r="U31" s="87"/>
      <c r="V31" s="38"/>
      <c r="W31" s="33"/>
      <c r="X31" s="33"/>
      <c r="Y31" s="33"/>
      <c r="Z31" s="33"/>
      <c r="AA31" s="33"/>
    </row>
    <row r="32" spans="1:27" ht="17.649999999999999" customHeight="1">
      <c r="A32" s="35"/>
      <c r="B32" s="36"/>
      <c r="C32" s="36"/>
      <c r="D32" s="36"/>
      <c r="E32" s="36" t="s">
        <v>188</v>
      </c>
      <c r="F32" s="36"/>
      <c r="G32" s="36"/>
      <c r="H32" s="105">
        <f>+ROUND(L32*10^9,3)</f>
        <v>11.848000000000001</v>
      </c>
      <c r="I32" s="36"/>
      <c r="J32" s="36"/>
      <c r="K32" s="36" t="s">
        <v>106</v>
      </c>
      <c r="L32" s="89">
        <f>+H31/H30</f>
        <v>1.1848157295355005E-8</v>
      </c>
      <c r="M32" s="652" t="s">
        <v>58</v>
      </c>
      <c r="N32" s="652"/>
      <c r="O32" s="652"/>
      <c r="P32" s="652"/>
      <c r="Q32" s="652"/>
      <c r="R32" s="652"/>
      <c r="S32" s="652"/>
      <c r="T32" s="652"/>
      <c r="U32" s="36"/>
      <c r="V32" s="31"/>
      <c r="W32" s="33"/>
      <c r="X32" s="33"/>
      <c r="Y32" s="33"/>
      <c r="Z32" s="33"/>
      <c r="AA32" s="33"/>
    </row>
    <row r="33" spans="1:27" ht="17.649999999999999" customHeight="1">
      <c r="A33" s="35"/>
      <c r="B33" s="36"/>
      <c r="C33" s="36"/>
      <c r="D33" s="36"/>
      <c r="E33" s="36" t="s">
        <v>189</v>
      </c>
      <c r="F33" s="36"/>
      <c r="G33" s="36"/>
      <c r="H33" s="105">
        <f>+ROUND(L33*10^6,2)</f>
        <v>0</v>
      </c>
      <c r="I33" s="36"/>
      <c r="J33" s="36"/>
      <c r="K33" s="36" t="s">
        <v>65</v>
      </c>
      <c r="L33" s="89">
        <f>+L32*L32*L7</f>
        <v>4.6325014327506435E-12</v>
      </c>
      <c r="M33" s="653" t="s">
        <v>59</v>
      </c>
      <c r="N33" s="653"/>
      <c r="O33" s="653"/>
      <c r="P33" s="653"/>
      <c r="Q33" s="653"/>
      <c r="R33" s="653"/>
      <c r="S33" s="653"/>
      <c r="T33" s="653"/>
      <c r="U33" s="36"/>
      <c r="V33" s="32"/>
      <c r="W33" s="33"/>
      <c r="X33" s="33"/>
      <c r="Y33" s="33"/>
      <c r="Z33" s="33"/>
      <c r="AA33" s="33"/>
    </row>
    <row r="34" spans="1:27" ht="17.649999999999999" customHeight="1" thickBot="1">
      <c r="A34" s="109" t="str">
        <f>+WB!A32</f>
        <v>walter</v>
      </c>
      <c r="B34" s="90"/>
      <c r="C34" s="90"/>
      <c r="D34" s="90"/>
      <c r="E34" s="90"/>
      <c r="F34" s="90"/>
      <c r="G34" s="90"/>
      <c r="H34" s="91"/>
      <c r="I34" s="90"/>
      <c r="J34" s="90"/>
      <c r="K34" s="90"/>
      <c r="L34" s="92"/>
      <c r="M34" s="93"/>
      <c r="N34" s="90"/>
      <c r="O34" s="90"/>
      <c r="P34" s="90"/>
      <c r="Q34" s="90"/>
      <c r="R34" s="90"/>
      <c r="S34" s="90"/>
      <c r="T34" s="90"/>
      <c r="U34" s="654" t="str">
        <f>+WB!X32</f>
        <v>Reg. No. 1248</v>
      </c>
      <c r="V34" s="655"/>
      <c r="W34" s="33"/>
      <c r="X34" s="33"/>
      <c r="Y34" s="33"/>
      <c r="Z34" s="33"/>
      <c r="AA34" s="33"/>
    </row>
    <row r="35" spans="1:27" ht="17.649999999999999" customHeight="1">
      <c r="A35" s="630" t="s">
        <v>100</v>
      </c>
      <c r="B35" s="631"/>
      <c r="C35" s="631"/>
      <c r="D35" s="631"/>
      <c r="E35" s="631"/>
      <c r="F35" s="631"/>
      <c r="G35" s="631"/>
      <c r="H35" s="631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2"/>
      <c r="W35" s="33"/>
      <c r="X35" s="33"/>
      <c r="Y35" s="33"/>
      <c r="Z35" s="33"/>
      <c r="AA35" s="33"/>
    </row>
    <row r="36" spans="1:27" ht="17.649999999999999" customHeight="1">
      <c r="A36" s="633" t="s">
        <v>190</v>
      </c>
      <c r="B36" s="634"/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5"/>
      <c r="W36" s="33"/>
      <c r="X36" s="33"/>
      <c r="Y36" s="33"/>
      <c r="Z36" s="33"/>
      <c r="AA36" s="33"/>
    </row>
    <row r="37" spans="1:27" ht="17.649999999999999" customHeight="1">
      <c r="A37" s="633" t="s">
        <v>97</v>
      </c>
      <c r="B37" s="634"/>
      <c r="C37" s="634"/>
      <c r="D37" s="634"/>
      <c r="E37" s="634"/>
      <c r="F37" s="634"/>
      <c r="G37" s="634"/>
      <c r="H37" s="634"/>
      <c r="I37" s="634"/>
      <c r="J37" s="634"/>
      <c r="K37" s="634"/>
      <c r="L37" s="634"/>
      <c r="M37" s="634"/>
      <c r="N37" s="634"/>
      <c r="O37" s="634"/>
      <c r="P37" s="634"/>
      <c r="Q37" s="634"/>
      <c r="R37" s="634"/>
      <c r="S37" s="634"/>
      <c r="T37" s="634"/>
      <c r="U37" s="634"/>
      <c r="V37" s="635"/>
      <c r="W37" s="33"/>
      <c r="X37" s="33"/>
      <c r="Y37" s="33"/>
      <c r="Z37" s="33"/>
      <c r="AA37" s="33"/>
    </row>
    <row r="38" spans="1:27" ht="17.649999999999999" customHeight="1">
      <c r="A38" s="633" t="s">
        <v>186</v>
      </c>
      <c r="B38" s="634"/>
      <c r="C38" s="634"/>
      <c r="D38" s="634"/>
      <c r="E38" s="634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4"/>
      <c r="T38" s="634"/>
      <c r="U38" s="634"/>
      <c r="V38" s="635"/>
      <c r="W38" s="33"/>
      <c r="X38" s="33"/>
      <c r="Y38" s="33"/>
      <c r="Z38" s="33"/>
      <c r="AA38" s="33"/>
    </row>
    <row r="39" spans="1:27" ht="17.649999999999999" customHeight="1">
      <c r="A39" s="633" t="s">
        <v>98</v>
      </c>
      <c r="B39" s="634"/>
      <c r="C39" s="634"/>
      <c r="D39" s="634"/>
      <c r="E39" s="634"/>
      <c r="F39" s="634"/>
      <c r="G39" s="634"/>
      <c r="H39" s="634"/>
      <c r="I39" s="634"/>
      <c r="J39" s="634"/>
      <c r="K39" s="634"/>
      <c r="L39" s="634"/>
      <c r="M39" s="634"/>
      <c r="N39" s="634"/>
      <c r="O39" s="634"/>
      <c r="P39" s="634"/>
      <c r="Q39" s="634"/>
      <c r="R39" s="634"/>
      <c r="S39" s="634"/>
      <c r="T39" s="634"/>
      <c r="U39" s="634"/>
      <c r="V39" s="635"/>
      <c r="W39" s="33"/>
      <c r="X39" s="33"/>
      <c r="Y39" s="33"/>
      <c r="Z39" s="33"/>
      <c r="AA39" s="33"/>
    </row>
    <row r="40" spans="1:27" ht="17.649999999999999" customHeight="1">
      <c r="A40" s="633" t="s">
        <v>99</v>
      </c>
      <c r="B40" s="634"/>
      <c r="C40" s="634"/>
      <c r="D40" s="634"/>
      <c r="E40" s="634"/>
      <c r="F40" s="634"/>
      <c r="G40" s="634"/>
      <c r="H40" s="634"/>
      <c r="I40" s="634"/>
      <c r="J40" s="634"/>
      <c r="K40" s="634"/>
      <c r="L40" s="634"/>
      <c r="M40" s="634"/>
      <c r="N40" s="634"/>
      <c r="O40" s="634"/>
      <c r="P40" s="634"/>
      <c r="Q40" s="634"/>
      <c r="R40" s="634"/>
      <c r="S40" s="634"/>
      <c r="T40" s="634"/>
      <c r="U40" s="634"/>
      <c r="V40" s="635"/>
      <c r="W40" s="33"/>
      <c r="X40" s="33"/>
      <c r="Y40" s="33"/>
      <c r="Z40" s="33"/>
      <c r="AA40" s="33"/>
    </row>
    <row r="41" spans="1:27" ht="17.649999999999999" customHeight="1">
      <c r="A41" s="633" t="s">
        <v>192</v>
      </c>
      <c r="B41" s="634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4"/>
      <c r="N41" s="634"/>
      <c r="O41" s="634"/>
      <c r="P41" s="634"/>
      <c r="Q41" s="634"/>
      <c r="R41" s="634"/>
      <c r="S41" s="634"/>
      <c r="T41" s="634"/>
      <c r="U41" s="634"/>
      <c r="V41" s="635"/>
      <c r="W41" s="33"/>
      <c r="X41" s="33"/>
      <c r="Y41" s="33"/>
      <c r="Z41" s="33"/>
      <c r="AA41" s="33"/>
    </row>
    <row r="42" spans="1:27" ht="17.649999999999999" customHeight="1" thickBot="1">
      <c r="A42" s="636" t="s">
        <v>102</v>
      </c>
      <c r="B42" s="637"/>
      <c r="C42" s="637"/>
      <c r="D42" s="637"/>
      <c r="E42" s="637"/>
      <c r="F42" s="637"/>
      <c r="G42" s="637"/>
      <c r="H42" s="637"/>
      <c r="I42" s="637"/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8"/>
      <c r="W42" s="33"/>
      <c r="X42" s="33"/>
      <c r="Y42" s="33"/>
      <c r="Z42" s="33"/>
      <c r="AA42" s="33"/>
    </row>
    <row r="43" spans="1:2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</sheetData>
  <mergeCells count="40">
    <mergeCell ref="A1:S1"/>
    <mergeCell ref="U1:V1"/>
    <mergeCell ref="L8:L9"/>
    <mergeCell ref="J9:K10"/>
    <mergeCell ref="M9:M10"/>
    <mergeCell ref="I4:J6"/>
    <mergeCell ref="N4:O6"/>
    <mergeCell ref="P7:Q7"/>
    <mergeCell ref="K5:M5"/>
    <mergeCell ref="I11:J13"/>
    <mergeCell ref="N11:O13"/>
    <mergeCell ref="E16:J16"/>
    <mergeCell ref="E17:J17"/>
    <mergeCell ref="E18:J18"/>
    <mergeCell ref="E19:J19"/>
    <mergeCell ref="H22:H23"/>
    <mergeCell ref="I22:K22"/>
    <mergeCell ref="A37:V37"/>
    <mergeCell ref="I23:K23"/>
    <mergeCell ref="M23:O23"/>
    <mergeCell ref="M30:T30"/>
    <mergeCell ref="M31:T31"/>
    <mergeCell ref="L22:L23"/>
    <mergeCell ref="M22:O22"/>
    <mergeCell ref="P22:P23"/>
    <mergeCell ref="M32:T32"/>
    <mergeCell ref="M33:T33"/>
    <mergeCell ref="A35:V35"/>
    <mergeCell ref="A36:V36"/>
    <mergeCell ref="U34:V34"/>
    <mergeCell ref="P16:Q16"/>
    <mergeCell ref="T16:U16"/>
    <mergeCell ref="P17:U17"/>
    <mergeCell ref="P18:V18"/>
    <mergeCell ref="P19:V19"/>
    <mergeCell ref="A40:V40"/>
    <mergeCell ref="A38:V38"/>
    <mergeCell ref="A39:V39"/>
    <mergeCell ref="A41:V41"/>
    <mergeCell ref="A42:V42"/>
  </mergeCells>
  <hyperlinks>
    <hyperlink ref="M32" r:id="rId1"/>
  </hyperlinks>
  <pageMargins left="0.7" right="0.7" top="0.75" bottom="0.75" header="0.3" footer="0.3"/>
  <pageSetup paperSize="9" orientation="portrait" r:id="rId2"/>
  <ignoredErrors>
    <ignoredError sqref="P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Y112"/>
  <sheetViews>
    <sheetView workbookViewId="0"/>
  </sheetViews>
  <sheetFormatPr defaultColWidth="8.85546875" defaultRowHeight="15.75"/>
  <cols>
    <col min="1" max="1" width="10.5703125" style="119" customWidth="1"/>
    <col min="2" max="2" width="12.7109375" style="119" customWidth="1"/>
    <col min="3" max="4" width="3.7109375" style="119" customWidth="1"/>
    <col min="5" max="7" width="12.7109375" style="119" customWidth="1"/>
    <col min="8" max="8" width="14.7109375" style="119" customWidth="1"/>
    <col min="9" max="10" width="2.7109375" style="119" customWidth="1"/>
    <col min="11" max="11" width="14.7109375" style="119" customWidth="1"/>
    <col min="12" max="12" width="23.7109375" style="119" customWidth="1"/>
    <col min="13" max="13" width="14.7109375" style="119" customWidth="1"/>
    <col min="14" max="15" width="2.7109375" style="119" customWidth="1"/>
    <col min="16" max="16" width="14.7109375" style="119" customWidth="1"/>
    <col min="17" max="19" width="12.7109375" style="119" customWidth="1"/>
    <col min="20" max="21" width="3.7109375" style="119" customWidth="1"/>
    <col min="22" max="22" width="12.7109375" style="119" customWidth="1"/>
    <col min="23" max="23" width="12.28515625" style="119" customWidth="1"/>
    <col min="24" max="24" width="8.85546875" style="119"/>
    <col min="25" max="26" width="12" style="119" bestFit="1" customWidth="1"/>
    <col min="27" max="16384" width="8.85546875" style="119"/>
  </cols>
  <sheetData>
    <row r="1" spans="1:23" ht="20.25" customHeight="1">
      <c r="A1" s="208"/>
      <c r="B1" s="209"/>
      <c r="C1" s="702" t="s">
        <v>148</v>
      </c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229"/>
      <c r="U1" s="229"/>
      <c r="V1" s="699" t="s">
        <v>111</v>
      </c>
      <c r="W1" s="700"/>
    </row>
    <row r="2" spans="1:23">
      <c r="A2" s="210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211"/>
    </row>
    <row r="3" spans="1:23">
      <c r="A3" s="210"/>
      <c r="B3" s="126"/>
      <c r="C3" s="126"/>
      <c r="D3" s="126"/>
      <c r="E3" s="274" t="s">
        <v>121</v>
      </c>
      <c r="F3" s="274" t="s">
        <v>122</v>
      </c>
      <c r="G3" s="274" t="s">
        <v>1</v>
      </c>
      <c r="H3" s="274" t="s">
        <v>2</v>
      </c>
      <c r="I3" s="679"/>
      <c r="J3" s="680"/>
      <c r="K3" s="274" t="s">
        <v>3</v>
      </c>
      <c r="L3" s="274" t="s">
        <v>29</v>
      </c>
      <c r="M3" s="274" t="s">
        <v>123</v>
      </c>
      <c r="N3" s="126"/>
      <c r="O3" s="126"/>
      <c r="P3" s="126" t="s">
        <v>141</v>
      </c>
      <c r="Q3" s="126"/>
      <c r="R3" s="126"/>
      <c r="S3" s="126"/>
      <c r="T3" s="126"/>
      <c r="U3" s="126"/>
      <c r="V3" s="126"/>
      <c r="W3" s="211"/>
    </row>
    <row r="4" spans="1:23">
      <c r="A4" s="210"/>
      <c r="B4" s="126"/>
      <c r="C4" s="126"/>
      <c r="D4" s="126"/>
      <c r="E4" s="274" t="s">
        <v>6</v>
      </c>
      <c r="F4" s="274" t="s">
        <v>6</v>
      </c>
      <c r="G4" s="274" t="s">
        <v>13</v>
      </c>
      <c r="H4" s="274" t="s">
        <v>13</v>
      </c>
      <c r="I4" s="681"/>
      <c r="J4" s="682"/>
      <c r="K4" s="274" t="s">
        <v>13</v>
      </c>
      <c r="L4" s="274" t="s">
        <v>13</v>
      </c>
      <c r="M4" s="274" t="s">
        <v>13</v>
      </c>
      <c r="N4" s="126"/>
      <c r="O4" s="126"/>
      <c r="P4" s="126" t="s">
        <v>142</v>
      </c>
      <c r="Q4" s="126"/>
      <c r="R4" s="126"/>
      <c r="S4" s="126"/>
      <c r="T4" s="126"/>
      <c r="U4" s="126"/>
      <c r="V4" s="126"/>
      <c r="W4" s="211"/>
    </row>
    <row r="5" spans="1:23">
      <c r="A5" s="210"/>
      <c r="B5" s="126"/>
      <c r="C5" s="126"/>
      <c r="D5" s="126"/>
      <c r="E5" s="238">
        <v>5</v>
      </c>
      <c r="F5" s="241">
        <f>+E5</f>
        <v>5</v>
      </c>
      <c r="G5" s="239">
        <f>E8*F8</f>
        <v>289.89999999999998</v>
      </c>
      <c r="H5" s="238">
        <v>289.89999999999998</v>
      </c>
      <c r="I5" s="683"/>
      <c r="J5" s="684"/>
      <c r="K5" s="238">
        <v>290.60000000000002</v>
      </c>
      <c r="L5" s="238">
        <v>290.60000000000002</v>
      </c>
      <c r="M5" s="238">
        <f>10^24</f>
        <v>9.9999999999999998E+23</v>
      </c>
      <c r="N5" s="126"/>
      <c r="O5" s="126"/>
      <c r="P5" s="126"/>
      <c r="Q5" s="126"/>
      <c r="R5" s="126"/>
      <c r="S5" s="126"/>
      <c r="T5" s="126"/>
      <c r="U5" s="126"/>
      <c r="V5" s="126"/>
      <c r="W5" s="211"/>
    </row>
    <row r="6" spans="1:23">
      <c r="A6" s="210"/>
      <c r="B6" s="126"/>
      <c r="C6" s="126"/>
      <c r="D6" s="126"/>
      <c r="E6" s="506" t="s">
        <v>151</v>
      </c>
      <c r="F6" s="506"/>
      <c r="G6" s="126"/>
      <c r="H6" s="126"/>
      <c r="I6" s="126"/>
      <c r="J6" s="126"/>
      <c r="K6" s="126"/>
      <c r="L6" s="126"/>
      <c r="M6" s="126"/>
      <c r="N6" s="126"/>
      <c r="O6" s="126"/>
      <c r="P6" s="294" t="s">
        <v>143</v>
      </c>
      <c r="Q6" s="227">
        <f>+L31</f>
        <v>0</v>
      </c>
      <c r="R6" s="294" t="s">
        <v>6</v>
      </c>
      <c r="S6" s="227">
        <f>+Q6*1000</f>
        <v>0</v>
      </c>
      <c r="T6" s="294" t="s">
        <v>8</v>
      </c>
      <c r="U6" s="271"/>
      <c r="V6" s="271"/>
      <c r="W6" s="296"/>
    </row>
    <row r="7" spans="1:23">
      <c r="A7" s="210"/>
      <c r="B7" s="126"/>
      <c r="C7" s="126"/>
      <c r="D7" s="126"/>
      <c r="E7" s="274" t="s">
        <v>13</v>
      </c>
      <c r="F7" s="274" t="s">
        <v>20</v>
      </c>
      <c r="G7" s="723" t="s">
        <v>163</v>
      </c>
      <c r="H7" s="491"/>
      <c r="I7" s="491"/>
      <c r="J7" s="491"/>
      <c r="K7" s="491"/>
      <c r="L7" s="491"/>
      <c r="M7" s="246"/>
      <c r="N7" s="126"/>
      <c r="O7" s="126"/>
      <c r="P7" s="294" t="s">
        <v>144</v>
      </c>
      <c r="Q7" s="227">
        <f>+L72</f>
        <v>290.25</v>
      </c>
      <c r="R7" s="294" t="s">
        <v>13</v>
      </c>
      <c r="S7" s="227">
        <f>Q7/1000</f>
        <v>0.29025000000000001</v>
      </c>
      <c r="T7" s="294" t="s">
        <v>145</v>
      </c>
      <c r="U7" s="271"/>
      <c r="V7" s="432" t="s">
        <v>235</v>
      </c>
      <c r="W7" s="441" t="s">
        <v>241</v>
      </c>
    </row>
    <row r="8" spans="1:23" ht="20.25" customHeight="1">
      <c r="A8" s="212"/>
      <c r="B8" s="127"/>
      <c r="C8" s="127"/>
      <c r="D8" s="127"/>
      <c r="E8" s="240">
        <v>289.89999999999998</v>
      </c>
      <c r="F8" s="252">
        <v>1</v>
      </c>
      <c r="G8" s="237"/>
      <c r="H8" s="127"/>
      <c r="I8" s="127"/>
      <c r="J8" s="127"/>
      <c r="K8" s="492"/>
      <c r="L8" s="492"/>
      <c r="M8" s="492"/>
      <c r="N8" s="127"/>
      <c r="O8" s="127"/>
      <c r="P8" s="294" t="s">
        <v>146</v>
      </c>
      <c r="Q8" s="230">
        <f>+L85</f>
        <v>0</v>
      </c>
      <c r="R8" s="294" t="s">
        <v>140</v>
      </c>
      <c r="S8" s="294">
        <f>+Q8*1000</f>
        <v>0</v>
      </c>
      <c r="T8" s="701" t="s">
        <v>147</v>
      </c>
      <c r="U8" s="701"/>
      <c r="V8" s="431">
        <f>+S8*1000</f>
        <v>0</v>
      </c>
      <c r="W8" s="459">
        <f>+V8*1000</f>
        <v>0</v>
      </c>
    </row>
    <row r="9" spans="1:23" ht="17.649999999999999" customHeight="1">
      <c r="A9" s="210"/>
      <c r="B9" s="126"/>
      <c r="C9" s="126"/>
      <c r="D9" s="128"/>
      <c r="E9" s="128"/>
      <c r="F9" s="128"/>
      <c r="G9" s="298"/>
      <c r="H9" s="298"/>
      <c r="I9" s="724" t="s">
        <v>164</v>
      </c>
      <c r="J9" s="724"/>
      <c r="K9" s="692" t="s">
        <v>166</v>
      </c>
      <c r="L9" s="692"/>
      <c r="M9" s="692"/>
      <c r="N9" s="724" t="s">
        <v>165</v>
      </c>
      <c r="O9" s="724"/>
      <c r="P9" s="298"/>
      <c r="Q9" s="298"/>
      <c r="R9" s="298"/>
      <c r="S9" s="298"/>
      <c r="T9" s="128"/>
      <c r="U9" s="126"/>
      <c r="V9" s="126"/>
      <c r="W9" s="211"/>
    </row>
    <row r="10" spans="1:23" ht="17.649999999999999" customHeight="1" thickBot="1">
      <c r="A10" s="210"/>
      <c r="B10" s="126"/>
      <c r="C10" s="126"/>
      <c r="D10" s="129"/>
      <c r="E10" s="126"/>
      <c r="F10" s="126"/>
      <c r="G10" s="272"/>
      <c r="H10" s="130"/>
      <c r="I10" s="272"/>
      <c r="J10" s="131"/>
      <c r="K10" s="272"/>
      <c r="L10" s="132"/>
      <c r="M10" s="272"/>
      <c r="N10" s="133"/>
      <c r="O10" s="272"/>
      <c r="P10" s="272"/>
      <c r="Q10" s="272"/>
      <c r="R10" s="272"/>
      <c r="S10" s="134"/>
      <c r="T10" s="135"/>
      <c r="U10" s="126"/>
      <c r="V10" s="272"/>
      <c r="W10" s="211"/>
    </row>
    <row r="11" spans="1:23" ht="17.649999999999999" customHeight="1">
      <c r="A11" s="210"/>
      <c r="B11" s="126"/>
      <c r="C11" s="126"/>
      <c r="D11" s="129"/>
      <c r="E11" s="126"/>
      <c r="F11" s="271"/>
      <c r="G11" s="136"/>
      <c r="H11" s="293"/>
      <c r="I11" s="656" t="str">
        <f>+$G$3</f>
        <v>R1</v>
      </c>
      <c r="J11" s="657"/>
      <c r="K11" s="272"/>
      <c r="L11" s="272"/>
      <c r="M11" s="272"/>
      <c r="N11" s="656" t="str">
        <f>+$K$3</f>
        <v>R3</v>
      </c>
      <c r="O11" s="657"/>
      <c r="P11" s="273"/>
      <c r="Q11" s="136"/>
      <c r="R11" s="136"/>
      <c r="S11" s="136"/>
      <c r="T11" s="135"/>
      <c r="U11" s="126"/>
      <c r="V11" s="137"/>
      <c r="W11" s="211"/>
    </row>
    <row r="12" spans="1:23" ht="17.649999999999999" customHeight="1">
      <c r="A12" s="210"/>
      <c r="B12" s="126"/>
      <c r="C12" s="126"/>
      <c r="D12" s="129"/>
      <c r="E12" s="126"/>
      <c r="F12" s="138"/>
      <c r="G12" s="272"/>
      <c r="H12" s="233">
        <f>+$G$5</f>
        <v>289.89999999999998</v>
      </c>
      <c r="I12" s="658"/>
      <c r="J12" s="659"/>
      <c r="K12" s="139"/>
      <c r="L12" s="140"/>
      <c r="M12" s="235">
        <f>+$K$5</f>
        <v>290.60000000000002</v>
      </c>
      <c r="N12" s="658"/>
      <c r="O12" s="659"/>
      <c r="P12" s="141"/>
      <c r="Q12" s="272"/>
      <c r="R12" s="272"/>
      <c r="S12" s="136"/>
      <c r="T12" s="135"/>
      <c r="U12" s="126"/>
      <c r="V12" s="142"/>
      <c r="W12" s="211"/>
    </row>
    <row r="13" spans="1:23" ht="17.649999999999999" customHeight="1" thickBot="1">
      <c r="A13" s="210"/>
      <c r="B13" s="126"/>
      <c r="C13" s="126"/>
      <c r="D13" s="129"/>
      <c r="E13" s="126"/>
      <c r="F13" s="143"/>
      <c r="G13" s="272"/>
      <c r="H13" s="272"/>
      <c r="I13" s="660"/>
      <c r="J13" s="661"/>
      <c r="K13" s="272"/>
      <c r="L13" s="272"/>
      <c r="M13" s="272"/>
      <c r="N13" s="660"/>
      <c r="O13" s="661"/>
      <c r="P13" s="272"/>
      <c r="Q13" s="272"/>
      <c r="R13" s="272"/>
      <c r="S13" s="136"/>
      <c r="T13" s="135"/>
      <c r="U13" s="126"/>
      <c r="V13" s="126"/>
      <c r="W13" s="211"/>
    </row>
    <row r="14" spans="1:23" ht="17.649999999999999" customHeight="1" thickBot="1">
      <c r="A14" s="213"/>
      <c r="B14" s="293"/>
      <c r="C14" s="686" t="str">
        <f>+$E$3</f>
        <v>V1</v>
      </c>
      <c r="D14" s="687"/>
      <c r="E14" s="126"/>
      <c r="F14" s="142"/>
      <c r="G14" s="136"/>
      <c r="H14" s="136"/>
      <c r="I14" s="272"/>
      <c r="J14" s="144"/>
      <c r="K14" s="272"/>
      <c r="L14" s="145">
        <f>+$M$5</f>
        <v>9.9999999999999998E+23</v>
      </c>
      <c r="M14" s="272"/>
      <c r="N14" s="133"/>
      <c r="O14" s="272"/>
      <c r="P14" s="136"/>
      <c r="Q14" s="136"/>
      <c r="R14" s="136"/>
      <c r="S14" s="136"/>
      <c r="T14" s="686" t="str">
        <f>+$F$3</f>
        <v>V2</v>
      </c>
      <c r="U14" s="687"/>
      <c r="V14" s="273"/>
      <c r="W14" s="214"/>
    </row>
    <row r="15" spans="1:23" ht="17.649999999999999" customHeight="1">
      <c r="A15" s="215"/>
      <c r="B15" s="296">
        <f>+$E$5</f>
        <v>5</v>
      </c>
      <c r="C15" s="688"/>
      <c r="D15" s="689"/>
      <c r="E15" s="126"/>
      <c r="F15" s="272"/>
      <c r="G15" s="130"/>
      <c r="H15" s="146"/>
      <c r="I15" s="272"/>
      <c r="J15" s="147"/>
      <c r="K15" s="298" t="s">
        <v>25</v>
      </c>
      <c r="L15" s="694" t="str">
        <f>+$M$3</f>
        <v>RL</v>
      </c>
      <c r="M15" s="298" t="s">
        <v>27</v>
      </c>
      <c r="N15" s="148"/>
      <c r="O15" s="297"/>
      <c r="P15" s="149"/>
      <c r="Q15" s="150"/>
      <c r="R15" s="150"/>
      <c r="S15" s="136"/>
      <c r="T15" s="688"/>
      <c r="U15" s="689"/>
      <c r="V15" s="295">
        <f>+$F$5</f>
        <v>5</v>
      </c>
      <c r="W15" s="216"/>
    </row>
    <row r="16" spans="1:23" ht="17.649999999999999" customHeight="1" thickBot="1">
      <c r="A16" s="213"/>
      <c r="B16" s="126"/>
      <c r="C16" s="688"/>
      <c r="D16" s="689"/>
      <c r="E16" s="126"/>
      <c r="F16" s="142"/>
      <c r="G16" s="136"/>
      <c r="H16" s="151"/>
      <c r="I16" s="272"/>
      <c r="J16" s="152"/>
      <c r="K16" s="153"/>
      <c r="L16" s="695"/>
      <c r="M16" s="153"/>
      <c r="N16" s="291"/>
      <c r="O16" s="297"/>
      <c r="P16" s="154"/>
      <c r="Q16" s="155"/>
      <c r="R16" s="155"/>
      <c r="S16" s="136"/>
      <c r="T16" s="688"/>
      <c r="U16" s="689"/>
      <c r="V16" s="126"/>
      <c r="W16" s="214"/>
    </row>
    <row r="17" spans="1:23" ht="17.649999999999999" customHeight="1" thickBot="1">
      <c r="A17" s="210"/>
      <c r="B17" s="126"/>
      <c r="C17" s="690"/>
      <c r="D17" s="691"/>
      <c r="E17" s="126"/>
      <c r="F17" s="126"/>
      <c r="G17" s="272"/>
      <c r="H17" s="272"/>
      <c r="I17" s="272"/>
      <c r="J17" s="156"/>
      <c r="K17" s="157"/>
      <c r="L17" s="272"/>
      <c r="M17" s="157"/>
      <c r="N17" s="292"/>
      <c r="O17" s="272"/>
      <c r="P17" s="272"/>
      <c r="Q17" s="272"/>
      <c r="R17" s="272"/>
      <c r="S17" s="136"/>
      <c r="T17" s="690"/>
      <c r="U17" s="691"/>
      <c r="V17" s="126"/>
      <c r="W17" s="211"/>
    </row>
    <row r="18" spans="1:23" ht="17.649999999999999" customHeight="1">
      <c r="A18" s="210"/>
      <c r="B18" s="126"/>
      <c r="C18" s="126"/>
      <c r="D18" s="129"/>
      <c r="E18" s="126"/>
      <c r="F18" s="126"/>
      <c r="G18" s="136"/>
      <c r="H18" s="293"/>
      <c r="I18" s="656" t="str">
        <f>+$H$3</f>
        <v>R2</v>
      </c>
      <c r="J18" s="657"/>
      <c r="K18" s="496" t="s">
        <v>193</v>
      </c>
      <c r="L18" s="491"/>
      <c r="M18" s="693"/>
      <c r="N18" s="656" t="str">
        <f>+$L$3</f>
        <v>R4</v>
      </c>
      <c r="O18" s="657"/>
      <c r="P18" s="273"/>
      <c r="Q18" s="272"/>
      <c r="R18" s="272"/>
      <c r="S18" s="136"/>
      <c r="T18" s="135"/>
      <c r="U18" s="126"/>
      <c r="V18" s="126"/>
      <c r="W18" s="211"/>
    </row>
    <row r="19" spans="1:23" ht="17.649999999999999" customHeight="1">
      <c r="A19" s="210"/>
      <c r="B19" s="126"/>
      <c r="C19" s="126"/>
      <c r="D19" s="129"/>
      <c r="E19" s="126"/>
      <c r="F19" s="126"/>
      <c r="G19" s="272"/>
      <c r="H19" s="234">
        <f>+$H$5</f>
        <v>289.89999999999998</v>
      </c>
      <c r="I19" s="658"/>
      <c r="J19" s="659"/>
      <c r="K19" s="272"/>
      <c r="L19" s="272"/>
      <c r="M19" s="186">
        <f>+$L$5</f>
        <v>290.60000000000002</v>
      </c>
      <c r="N19" s="658"/>
      <c r="O19" s="659"/>
      <c r="P19" s="158"/>
      <c r="Q19" s="272"/>
      <c r="R19" s="272"/>
      <c r="S19" s="136"/>
      <c r="T19" s="135"/>
      <c r="U19" s="126"/>
      <c r="V19" s="126"/>
      <c r="W19" s="211"/>
    </row>
    <row r="20" spans="1:23" ht="17.649999999999999" customHeight="1" thickBot="1">
      <c r="A20" s="210"/>
      <c r="B20" s="126"/>
      <c r="C20" s="126"/>
      <c r="D20" s="129"/>
      <c r="E20" s="126"/>
      <c r="F20" s="126"/>
      <c r="G20" s="272"/>
      <c r="H20" s="159"/>
      <c r="I20" s="660"/>
      <c r="J20" s="661"/>
      <c r="K20" s="272"/>
      <c r="L20" s="272"/>
      <c r="M20" s="272"/>
      <c r="N20" s="660"/>
      <c r="O20" s="661"/>
      <c r="P20" s="159"/>
      <c r="Q20" s="272"/>
      <c r="R20" s="272"/>
      <c r="S20" s="136"/>
      <c r="T20" s="135"/>
      <c r="U20" s="126"/>
      <c r="V20" s="126"/>
      <c r="W20" s="211"/>
    </row>
    <row r="21" spans="1:23" ht="17.649999999999999" customHeight="1">
      <c r="A21" s="210"/>
      <c r="B21" s="126"/>
      <c r="C21" s="126"/>
      <c r="D21" s="160"/>
      <c r="E21" s="128"/>
      <c r="F21" s="128"/>
      <c r="G21" s="298"/>
      <c r="H21" s="161"/>
      <c r="I21" s="148"/>
      <c r="J21" s="162"/>
      <c r="K21" s="298"/>
      <c r="L21" s="298"/>
      <c r="M21" s="298"/>
      <c r="N21" s="148"/>
      <c r="O21" s="147"/>
      <c r="P21" s="298"/>
      <c r="Q21" s="298"/>
      <c r="R21" s="298"/>
      <c r="S21" s="163"/>
      <c r="T21" s="164"/>
      <c r="U21" s="126"/>
      <c r="V21" s="126"/>
      <c r="W21" s="211"/>
    </row>
    <row r="22" spans="1:23" ht="17.649999999999999" customHeight="1">
      <c r="A22" s="210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299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211"/>
    </row>
    <row r="23" spans="1:23" ht="17.649999999999999" customHeight="1">
      <c r="A23" s="210"/>
      <c r="B23" s="126"/>
      <c r="C23" s="126"/>
      <c r="D23" s="126"/>
      <c r="E23" s="126"/>
      <c r="F23" s="126"/>
      <c r="G23" s="126"/>
      <c r="H23" s="126"/>
      <c r="I23" s="126"/>
      <c r="J23" s="126"/>
      <c r="K23" s="491" t="s">
        <v>124</v>
      </c>
      <c r="L23" s="491"/>
      <c r="M23" s="491"/>
      <c r="N23" s="126"/>
      <c r="O23" s="126"/>
      <c r="P23" s="126"/>
      <c r="Q23" s="126"/>
      <c r="R23" s="126"/>
      <c r="S23" s="126"/>
      <c r="T23" s="126"/>
      <c r="U23" s="126"/>
      <c r="V23" s="126"/>
      <c r="W23" s="211"/>
    </row>
    <row r="24" spans="1:23" ht="17.649999999999999" customHeight="1">
      <c r="A24" s="210"/>
      <c r="B24" s="126"/>
      <c r="C24" s="126"/>
      <c r="D24" s="128"/>
      <c r="E24" s="128"/>
      <c r="F24" s="128"/>
      <c r="G24" s="128"/>
      <c r="H24" s="128"/>
      <c r="I24" s="128"/>
      <c r="J24" s="128"/>
      <c r="K24" s="128"/>
      <c r="L24" s="165"/>
      <c r="M24" s="128"/>
      <c r="N24" s="128"/>
      <c r="O24" s="128"/>
      <c r="P24" s="128"/>
      <c r="Q24" s="128"/>
      <c r="R24" s="128"/>
      <c r="S24" s="128"/>
      <c r="T24" s="128"/>
      <c r="U24" s="126"/>
      <c r="V24" s="126"/>
      <c r="W24" s="211"/>
    </row>
    <row r="25" spans="1:23" ht="17.649999999999999" customHeight="1" thickBot="1">
      <c r="A25" s="210"/>
      <c r="B25" s="126"/>
      <c r="C25" s="126"/>
      <c r="D25" s="129"/>
      <c r="E25" s="126"/>
      <c r="F25" s="126"/>
      <c r="G25" s="272"/>
      <c r="H25" s="130"/>
      <c r="I25" s="272"/>
      <c r="J25" s="131"/>
      <c r="K25" s="272"/>
      <c r="L25" s="132"/>
      <c r="M25" s="272"/>
      <c r="N25" s="133"/>
      <c r="O25" s="272"/>
      <c r="P25" s="272"/>
      <c r="Q25" s="272"/>
      <c r="R25" s="272"/>
      <c r="S25" s="134"/>
      <c r="T25" s="135"/>
      <c r="U25" s="126"/>
      <c r="V25" s="272"/>
      <c r="W25" s="211"/>
    </row>
    <row r="26" spans="1:23" ht="17.649999999999999" customHeight="1">
      <c r="A26" s="210"/>
      <c r="B26" s="126"/>
      <c r="C26" s="126"/>
      <c r="D26" s="129"/>
      <c r="E26" s="126"/>
      <c r="F26" s="271"/>
      <c r="G26" s="136"/>
      <c r="H26" s="293"/>
      <c r="I26" s="656" t="str">
        <f>+$G$3</f>
        <v>R1</v>
      </c>
      <c r="J26" s="657"/>
      <c r="K26" s="272"/>
      <c r="L26" s="272"/>
      <c r="M26" s="272"/>
      <c r="N26" s="656" t="str">
        <f>+$K$3</f>
        <v>R3</v>
      </c>
      <c r="O26" s="657"/>
      <c r="P26" s="273"/>
      <c r="Q26" s="136"/>
      <c r="R26" s="136"/>
      <c r="S26" s="136"/>
      <c r="T26" s="135"/>
      <c r="U26" s="126"/>
      <c r="V26" s="137"/>
      <c r="W26" s="211"/>
    </row>
    <row r="27" spans="1:23" ht="17.649999999999999" customHeight="1">
      <c r="A27" s="210"/>
      <c r="B27" s="126"/>
      <c r="C27" s="126"/>
      <c r="D27" s="129"/>
      <c r="E27" s="126"/>
      <c r="F27" s="138"/>
      <c r="G27" s="272"/>
      <c r="H27" s="233">
        <f>+$G$5</f>
        <v>289.89999999999998</v>
      </c>
      <c r="I27" s="658"/>
      <c r="J27" s="659"/>
      <c r="K27" s="139"/>
      <c r="L27" s="140"/>
      <c r="M27" s="235">
        <f>+$K$5</f>
        <v>290.60000000000002</v>
      </c>
      <c r="N27" s="658"/>
      <c r="O27" s="659"/>
      <c r="P27" s="141"/>
      <c r="Q27" s="272"/>
      <c r="R27" s="272"/>
      <c r="S27" s="136"/>
      <c r="T27" s="135"/>
      <c r="U27" s="126"/>
      <c r="V27" s="142"/>
      <c r="W27" s="211"/>
    </row>
    <row r="28" spans="1:23" ht="17.649999999999999" customHeight="1" thickBot="1">
      <c r="A28" s="210"/>
      <c r="B28" s="126"/>
      <c r="C28" s="126"/>
      <c r="D28" s="129"/>
      <c r="E28" s="126"/>
      <c r="F28" s="143"/>
      <c r="G28" s="272"/>
      <c r="H28" s="272"/>
      <c r="I28" s="660"/>
      <c r="J28" s="661"/>
      <c r="K28" s="272"/>
      <c r="L28" s="272"/>
      <c r="M28" s="272"/>
      <c r="N28" s="660"/>
      <c r="O28" s="661"/>
      <c r="P28" s="272"/>
      <c r="Q28" s="272"/>
      <c r="R28" s="272"/>
      <c r="S28" s="136"/>
      <c r="T28" s="135"/>
      <c r="U28" s="126"/>
      <c r="V28" s="126"/>
      <c r="W28" s="211"/>
    </row>
    <row r="29" spans="1:23" ht="17.649999999999999" customHeight="1">
      <c r="A29" s="210"/>
      <c r="B29" s="293"/>
      <c r="C29" s="686" t="str">
        <f>+$E$3</f>
        <v>V1</v>
      </c>
      <c r="D29" s="687"/>
      <c r="E29" s="126"/>
      <c r="F29" s="142"/>
      <c r="G29" s="136"/>
      <c r="H29" s="136"/>
      <c r="I29" s="272"/>
      <c r="J29" s="144"/>
      <c r="K29" s="272"/>
      <c r="L29" s="271" t="s">
        <v>127</v>
      </c>
      <c r="M29" s="272"/>
      <c r="N29" s="133"/>
      <c r="O29" s="272"/>
      <c r="P29" s="136"/>
      <c r="Q29" s="136"/>
      <c r="R29" s="136"/>
      <c r="S29" s="136"/>
      <c r="T29" s="686" t="str">
        <f>+$F$3</f>
        <v>V2</v>
      </c>
      <c r="U29" s="687"/>
      <c r="V29" s="273"/>
      <c r="W29" s="211"/>
    </row>
    <row r="30" spans="1:23" ht="17.649999999999999" customHeight="1">
      <c r="A30" s="210"/>
      <c r="B30" s="296">
        <f>+$E$5</f>
        <v>5</v>
      </c>
      <c r="C30" s="688"/>
      <c r="D30" s="689"/>
      <c r="E30" s="126"/>
      <c r="F30" s="491" t="s">
        <v>129</v>
      </c>
      <c r="G30" s="491"/>
      <c r="H30" s="146"/>
      <c r="I30" s="272"/>
      <c r="J30" s="147"/>
      <c r="K30" s="161" t="s">
        <v>25</v>
      </c>
      <c r="L30" s="271" t="s">
        <v>131</v>
      </c>
      <c r="M30" s="166" t="s">
        <v>27</v>
      </c>
      <c r="N30" s="148"/>
      <c r="O30" s="297"/>
      <c r="P30" s="149"/>
      <c r="Q30" s="491" t="s">
        <v>130</v>
      </c>
      <c r="R30" s="491"/>
      <c r="S30" s="136"/>
      <c r="T30" s="688"/>
      <c r="U30" s="689"/>
      <c r="V30" s="295">
        <f>+$F$5</f>
        <v>5</v>
      </c>
      <c r="W30" s="211"/>
    </row>
    <row r="31" spans="1:23" ht="17.649999999999999" customHeight="1">
      <c r="A31" s="210"/>
      <c r="B31" s="126"/>
      <c r="C31" s="688"/>
      <c r="D31" s="689"/>
      <c r="E31" s="126"/>
      <c r="F31" s="142"/>
      <c r="G31" s="136"/>
      <c r="H31" s="151"/>
      <c r="I31" s="272"/>
      <c r="J31" s="152"/>
      <c r="K31" s="167" t="s">
        <v>125</v>
      </c>
      <c r="L31" s="232">
        <f>K32-M32</f>
        <v>0</v>
      </c>
      <c r="M31" s="167" t="s">
        <v>126</v>
      </c>
      <c r="N31" s="291"/>
      <c r="O31" s="297"/>
      <c r="P31" s="154"/>
      <c r="Q31" s="155"/>
      <c r="R31" s="155"/>
      <c r="S31" s="136"/>
      <c r="T31" s="688"/>
      <c r="U31" s="689"/>
      <c r="V31" s="126"/>
      <c r="W31" s="211"/>
    </row>
    <row r="32" spans="1:23" ht="17.649999999999999" customHeight="1" thickBot="1">
      <c r="A32" s="210"/>
      <c r="B32" s="126"/>
      <c r="C32" s="690"/>
      <c r="D32" s="691"/>
      <c r="E32" s="126"/>
      <c r="F32" s="126"/>
      <c r="G32" s="272"/>
      <c r="H32" s="272"/>
      <c r="I32" s="272"/>
      <c r="J32" s="156"/>
      <c r="K32" s="226">
        <f>B30*(H34/(H27+H34))</f>
        <v>2.5</v>
      </c>
      <c r="L32" s="272"/>
      <c r="M32" s="226">
        <f>V30*(M34/(M27+M34))</f>
        <v>2.5</v>
      </c>
      <c r="N32" s="292"/>
      <c r="O32" s="272"/>
      <c r="P32" s="272"/>
      <c r="Q32" s="272"/>
      <c r="R32" s="272"/>
      <c r="S32" s="136"/>
      <c r="T32" s="690"/>
      <c r="U32" s="691"/>
      <c r="V32" s="126"/>
      <c r="W32" s="211"/>
    </row>
    <row r="33" spans="1:23" ht="17.649999999999999" customHeight="1">
      <c r="A33" s="210"/>
      <c r="B33" s="126"/>
      <c r="C33" s="126"/>
      <c r="D33" s="129"/>
      <c r="E33" s="126"/>
      <c r="F33" s="126"/>
      <c r="G33" s="136"/>
      <c r="H33" s="293"/>
      <c r="I33" s="656" t="str">
        <f>+$H$3</f>
        <v>R2</v>
      </c>
      <c r="J33" s="657"/>
      <c r="K33" s="272"/>
      <c r="L33" s="169"/>
      <c r="M33" s="272"/>
      <c r="N33" s="656" t="str">
        <f>+$L$3</f>
        <v>R4</v>
      </c>
      <c r="O33" s="657"/>
      <c r="P33" s="273"/>
      <c r="Q33" s="272"/>
      <c r="R33" s="272"/>
      <c r="S33" s="136"/>
      <c r="T33" s="135"/>
      <c r="U33" s="126"/>
      <c r="V33" s="126"/>
      <c r="W33" s="211"/>
    </row>
    <row r="34" spans="1:23" ht="17.649999999999999" customHeight="1">
      <c r="A34" s="210"/>
      <c r="B34" s="126"/>
      <c r="C34" s="126"/>
      <c r="D34" s="129"/>
      <c r="E34" s="126"/>
      <c r="F34" s="126"/>
      <c r="G34" s="272"/>
      <c r="H34" s="234">
        <f>+$H$5</f>
        <v>289.89999999999998</v>
      </c>
      <c r="I34" s="658"/>
      <c r="J34" s="659"/>
      <c r="K34" s="272"/>
      <c r="L34" s="272"/>
      <c r="M34" s="186">
        <f>+$L$5</f>
        <v>290.60000000000002</v>
      </c>
      <c r="N34" s="658"/>
      <c r="O34" s="659"/>
      <c r="P34" s="158"/>
      <c r="Q34" s="272"/>
      <c r="R34" s="272"/>
      <c r="S34" s="136"/>
      <c r="T34" s="135"/>
      <c r="U34" s="126"/>
      <c r="V34" s="126"/>
      <c r="W34" s="211"/>
    </row>
    <row r="35" spans="1:23" ht="17.649999999999999" customHeight="1" thickBot="1">
      <c r="A35" s="210"/>
      <c r="B35" s="126"/>
      <c r="C35" s="126"/>
      <c r="D35" s="129"/>
      <c r="E35" s="126"/>
      <c r="F35" s="126"/>
      <c r="G35" s="272"/>
      <c r="H35" s="159"/>
      <c r="I35" s="660"/>
      <c r="J35" s="661"/>
      <c r="K35" s="272"/>
      <c r="L35" s="272"/>
      <c r="M35" s="272"/>
      <c r="N35" s="660"/>
      <c r="O35" s="661"/>
      <c r="P35" s="159"/>
      <c r="Q35" s="272"/>
      <c r="R35" s="272"/>
      <c r="S35" s="136"/>
      <c r="T35" s="135"/>
      <c r="U35" s="126"/>
      <c r="V35" s="126"/>
      <c r="W35" s="211"/>
    </row>
    <row r="36" spans="1:23" ht="17.649999999999999" customHeight="1">
      <c r="A36" s="210"/>
      <c r="B36" s="126"/>
      <c r="C36" s="126"/>
      <c r="D36" s="160"/>
      <c r="E36" s="128"/>
      <c r="F36" s="128"/>
      <c r="G36" s="298"/>
      <c r="H36" s="161"/>
      <c r="I36" s="148"/>
      <c r="J36" s="162"/>
      <c r="K36" s="298"/>
      <c r="L36" s="298"/>
      <c r="M36" s="298"/>
      <c r="N36" s="148"/>
      <c r="O36" s="147"/>
      <c r="P36" s="298"/>
      <c r="Q36" s="298"/>
      <c r="R36" s="298"/>
      <c r="S36" s="163"/>
      <c r="T36" s="164"/>
      <c r="U36" s="126"/>
      <c r="V36" s="126"/>
      <c r="W36" s="211"/>
    </row>
    <row r="37" spans="1:23" ht="17.649999999999999" customHeight="1">
      <c r="A37" s="210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299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211"/>
    </row>
    <row r="38" spans="1:23" ht="17.649999999999999" customHeight="1">
      <c r="A38" s="210"/>
      <c r="B38" s="126"/>
      <c r="C38" s="126"/>
      <c r="D38" s="126"/>
      <c r="E38" s="126"/>
      <c r="F38" s="126"/>
      <c r="G38" s="126"/>
      <c r="H38" s="126"/>
      <c r="I38" s="126"/>
      <c r="J38" s="126"/>
      <c r="K38" s="491" t="s">
        <v>132</v>
      </c>
      <c r="L38" s="491"/>
      <c r="M38" s="491"/>
      <c r="N38" s="126"/>
      <c r="O38" s="126"/>
      <c r="P38" s="126"/>
      <c r="Q38" s="126"/>
      <c r="R38" s="126"/>
      <c r="S38" s="126"/>
      <c r="T38" s="126"/>
      <c r="U38" s="126"/>
      <c r="V38" s="126"/>
      <c r="W38" s="211"/>
    </row>
    <row r="39" spans="1:23" ht="17.649999999999999" customHeight="1">
      <c r="A39" s="210"/>
      <c r="B39" s="126"/>
      <c r="C39" s="126"/>
      <c r="D39" s="128"/>
      <c r="E39" s="128"/>
      <c r="F39" s="128"/>
      <c r="G39" s="128"/>
      <c r="H39" s="128"/>
      <c r="I39" s="128"/>
      <c r="J39" s="128"/>
      <c r="K39" s="128"/>
      <c r="L39" s="165"/>
      <c r="M39" s="128"/>
      <c r="N39" s="128"/>
      <c r="O39" s="128"/>
      <c r="P39" s="128"/>
      <c r="Q39" s="128"/>
      <c r="R39" s="128"/>
      <c r="S39" s="128"/>
      <c r="T39" s="128"/>
      <c r="U39" s="126"/>
      <c r="V39" s="126"/>
      <c r="W39" s="211"/>
    </row>
    <row r="40" spans="1:23" ht="17.649999999999999" customHeight="1" thickBot="1">
      <c r="A40" s="210"/>
      <c r="B40" s="126"/>
      <c r="C40" s="126"/>
      <c r="D40" s="129"/>
      <c r="E40" s="126"/>
      <c r="F40" s="126"/>
      <c r="G40" s="272"/>
      <c r="H40" s="130"/>
      <c r="I40" s="272"/>
      <c r="J40" s="131"/>
      <c r="K40" s="272"/>
      <c r="L40" s="132"/>
      <c r="M40" s="272"/>
      <c r="N40" s="133"/>
      <c r="O40" s="272"/>
      <c r="P40" s="272"/>
      <c r="Q40" s="272"/>
      <c r="R40" s="272"/>
      <c r="S40" s="136"/>
      <c r="T40" s="135"/>
      <c r="U40" s="126"/>
      <c r="V40" s="126"/>
      <c r="W40" s="211"/>
    </row>
    <row r="41" spans="1:23" ht="17.649999999999999" customHeight="1">
      <c r="A41" s="210"/>
      <c r="B41" s="126"/>
      <c r="C41" s="126"/>
      <c r="D41" s="129"/>
      <c r="E41" s="126"/>
      <c r="F41" s="271"/>
      <c r="G41" s="136"/>
      <c r="H41" s="293"/>
      <c r="I41" s="656" t="str">
        <f>+$G$3</f>
        <v>R1</v>
      </c>
      <c r="J41" s="657"/>
      <c r="K41" s="272"/>
      <c r="L41" s="272"/>
      <c r="M41" s="272"/>
      <c r="N41" s="656" t="str">
        <f>+$K$3</f>
        <v>R3</v>
      </c>
      <c r="O41" s="657"/>
      <c r="P41" s="273"/>
      <c r="Q41" s="136"/>
      <c r="R41" s="136"/>
      <c r="S41" s="136"/>
      <c r="T41" s="135"/>
      <c r="U41" s="126"/>
      <c r="V41" s="126"/>
      <c r="W41" s="211"/>
    </row>
    <row r="42" spans="1:23" ht="17.649999999999999" customHeight="1">
      <c r="A42" s="210"/>
      <c r="B42" s="126"/>
      <c r="C42" s="126"/>
      <c r="D42" s="129"/>
      <c r="E42" s="126"/>
      <c r="F42" s="138"/>
      <c r="G42" s="272"/>
      <c r="H42" s="233">
        <f>+$G$5</f>
        <v>289.89999999999998</v>
      </c>
      <c r="I42" s="658"/>
      <c r="J42" s="659"/>
      <c r="K42" s="139"/>
      <c r="L42" s="140"/>
      <c r="M42" s="235">
        <f>+$K$5</f>
        <v>290.60000000000002</v>
      </c>
      <c r="N42" s="658"/>
      <c r="O42" s="659"/>
      <c r="P42" s="141"/>
      <c r="Q42" s="272"/>
      <c r="R42" s="272"/>
      <c r="S42" s="136"/>
      <c r="T42" s="135"/>
      <c r="U42" s="126"/>
      <c r="V42" s="126"/>
      <c r="W42" s="211"/>
    </row>
    <row r="43" spans="1:23" ht="17.649999999999999" customHeight="1" thickBot="1">
      <c r="A43" s="210"/>
      <c r="B43" s="126"/>
      <c r="C43" s="126"/>
      <c r="D43" s="129"/>
      <c r="E43" s="126"/>
      <c r="F43" s="143"/>
      <c r="G43" s="272"/>
      <c r="H43" s="272"/>
      <c r="I43" s="660"/>
      <c r="J43" s="661"/>
      <c r="K43" s="272"/>
      <c r="L43" s="271" t="s">
        <v>133</v>
      </c>
      <c r="M43" s="272"/>
      <c r="N43" s="660"/>
      <c r="O43" s="661"/>
      <c r="P43" s="272"/>
      <c r="Q43" s="272"/>
      <c r="R43" s="272"/>
      <c r="S43" s="136"/>
      <c r="T43" s="135"/>
      <c r="U43" s="126"/>
      <c r="V43" s="126"/>
      <c r="W43" s="211"/>
    </row>
    <row r="44" spans="1:23" ht="17.649999999999999" customHeight="1">
      <c r="A44" s="210"/>
      <c r="B44" s="126"/>
      <c r="C44" s="157"/>
      <c r="D44" s="129"/>
      <c r="E44" s="126"/>
      <c r="F44" s="142"/>
      <c r="G44" s="136"/>
      <c r="H44" s="136"/>
      <c r="I44" s="272"/>
      <c r="J44" s="144"/>
      <c r="K44" s="504" t="s">
        <v>135</v>
      </c>
      <c r="L44" s="504"/>
      <c r="M44" s="504"/>
      <c r="N44" s="133"/>
      <c r="O44" s="272"/>
      <c r="P44" s="136"/>
      <c r="Q44" s="136"/>
      <c r="R44" s="136"/>
      <c r="S44" s="136"/>
      <c r="T44" s="135"/>
      <c r="U44" s="157"/>
      <c r="V44" s="126"/>
      <c r="W44" s="211"/>
    </row>
    <row r="45" spans="1:23" ht="17.649999999999999" customHeight="1">
      <c r="A45" s="210"/>
      <c r="B45" s="126"/>
      <c r="C45" s="157"/>
      <c r="D45" s="129"/>
      <c r="E45" s="126"/>
      <c r="F45" s="136"/>
      <c r="G45" s="136"/>
      <c r="H45" s="146"/>
      <c r="I45" s="272"/>
      <c r="J45" s="147"/>
      <c r="K45" s="170" t="s">
        <v>25</v>
      </c>
      <c r="L45" s="271"/>
      <c r="M45" s="171" t="s">
        <v>27</v>
      </c>
      <c r="N45" s="148"/>
      <c r="O45" s="297"/>
      <c r="P45" s="149"/>
      <c r="Q45" s="136"/>
      <c r="R45" s="136"/>
      <c r="S45" s="136"/>
      <c r="T45" s="135"/>
      <c r="U45" s="157"/>
      <c r="V45" s="126"/>
      <c r="W45" s="211"/>
    </row>
    <row r="46" spans="1:23" ht="17.649999999999999" customHeight="1">
      <c r="A46" s="210"/>
      <c r="B46" s="126"/>
      <c r="C46" s="157"/>
      <c r="D46" s="129"/>
      <c r="E46" s="126"/>
      <c r="F46" s="142"/>
      <c r="G46" s="136"/>
      <c r="H46" s="151"/>
      <c r="I46" s="272"/>
      <c r="J46" s="152"/>
      <c r="K46" s="167"/>
      <c r="L46" s="168"/>
      <c r="M46" s="167"/>
      <c r="N46" s="291"/>
      <c r="O46" s="297"/>
      <c r="P46" s="154"/>
      <c r="Q46" s="155"/>
      <c r="R46" s="155"/>
      <c r="S46" s="136"/>
      <c r="T46" s="135"/>
      <c r="U46" s="157"/>
      <c r="V46" s="126"/>
      <c r="W46" s="211"/>
    </row>
    <row r="47" spans="1:23" ht="17.649999999999999" customHeight="1" thickBot="1">
      <c r="A47" s="210"/>
      <c r="B47" s="126"/>
      <c r="C47" s="157"/>
      <c r="D47" s="129"/>
      <c r="E47" s="126"/>
      <c r="F47" s="126"/>
      <c r="G47" s="272"/>
      <c r="H47" s="272"/>
      <c r="I47" s="272"/>
      <c r="J47" s="156"/>
      <c r="K47" s="169"/>
      <c r="L47" s="272"/>
      <c r="M47" s="169"/>
      <c r="N47" s="292"/>
      <c r="O47" s="272"/>
      <c r="P47" s="272"/>
      <c r="Q47" s="272"/>
      <c r="R47" s="272"/>
      <c r="S47" s="136"/>
      <c r="T47" s="135"/>
      <c r="U47" s="157"/>
      <c r="V47" s="126"/>
      <c r="W47" s="211"/>
    </row>
    <row r="48" spans="1:23" ht="17.649999999999999" customHeight="1">
      <c r="A48" s="210"/>
      <c r="B48" s="126"/>
      <c r="C48" s="126"/>
      <c r="D48" s="129"/>
      <c r="E48" s="126"/>
      <c r="F48" s="126"/>
      <c r="G48" s="136"/>
      <c r="H48" s="293"/>
      <c r="I48" s="656" t="str">
        <f>+$H$3</f>
        <v>R2</v>
      </c>
      <c r="J48" s="657"/>
      <c r="K48" s="272"/>
      <c r="L48" s="169"/>
      <c r="M48" s="272"/>
      <c r="N48" s="656" t="str">
        <f>+$L$3</f>
        <v>R4</v>
      </c>
      <c r="O48" s="657"/>
      <c r="P48" s="273"/>
      <c r="Q48" s="272"/>
      <c r="R48" s="272"/>
      <c r="S48" s="136"/>
      <c r="T48" s="135"/>
      <c r="U48" s="126"/>
      <c r="V48" s="140"/>
      <c r="W48" s="211"/>
    </row>
    <row r="49" spans="1:25" ht="17.649999999999999" customHeight="1">
      <c r="A49" s="210"/>
      <c r="B49" s="126"/>
      <c r="C49" s="126"/>
      <c r="D49" s="129"/>
      <c r="E49" s="126"/>
      <c r="F49" s="126"/>
      <c r="G49" s="272"/>
      <c r="H49" s="234">
        <f>+$H$5</f>
        <v>289.89999999999998</v>
      </c>
      <c r="I49" s="658"/>
      <c r="J49" s="659"/>
      <c r="K49" s="272"/>
      <c r="L49" s="272"/>
      <c r="M49" s="186">
        <f>+$L$5</f>
        <v>290.60000000000002</v>
      </c>
      <c r="N49" s="658"/>
      <c r="O49" s="659"/>
      <c r="P49" s="158"/>
      <c r="Q49" s="272"/>
      <c r="R49" s="272"/>
      <c r="S49" s="136"/>
      <c r="T49" s="135"/>
      <c r="U49" s="126"/>
      <c r="V49" s="172"/>
      <c r="W49" s="211"/>
    </row>
    <row r="50" spans="1:25" ht="17.649999999999999" customHeight="1" thickBot="1">
      <c r="A50" s="210"/>
      <c r="B50" s="126"/>
      <c r="C50" s="126"/>
      <c r="D50" s="129"/>
      <c r="E50" s="126"/>
      <c r="F50" s="126"/>
      <c r="G50" s="272"/>
      <c r="H50" s="159"/>
      <c r="I50" s="660"/>
      <c r="J50" s="661"/>
      <c r="K50" s="272"/>
      <c r="L50" s="272"/>
      <c r="M50" s="272"/>
      <c r="N50" s="660"/>
      <c r="O50" s="661"/>
      <c r="P50" s="159"/>
      <c r="Q50" s="272"/>
      <c r="R50" s="272"/>
      <c r="S50" s="136"/>
      <c r="T50" s="135"/>
      <c r="U50" s="126"/>
      <c r="V50" s="136"/>
      <c r="W50" s="214"/>
      <c r="Y50" s="121"/>
    </row>
    <row r="51" spans="1:25" ht="17.649999999999999" customHeight="1">
      <c r="A51" s="210"/>
      <c r="B51" s="126"/>
      <c r="C51" s="126"/>
      <c r="D51" s="160"/>
      <c r="E51" s="128"/>
      <c r="F51" s="128"/>
      <c r="G51" s="298"/>
      <c r="H51" s="161"/>
      <c r="I51" s="148"/>
      <c r="J51" s="162"/>
      <c r="K51" s="298"/>
      <c r="L51" s="298"/>
      <c r="M51" s="298"/>
      <c r="N51" s="148"/>
      <c r="O51" s="147"/>
      <c r="P51" s="298"/>
      <c r="Q51" s="298"/>
      <c r="R51" s="298"/>
      <c r="S51" s="163"/>
      <c r="T51" s="164"/>
      <c r="U51" s="126"/>
      <c r="V51" s="136"/>
      <c r="W51" s="214"/>
    </row>
    <row r="52" spans="1:25" ht="17.649999999999999" customHeight="1">
      <c r="A52" s="210"/>
      <c r="B52" s="126"/>
      <c r="C52" s="126"/>
      <c r="D52" s="126"/>
      <c r="E52" s="150"/>
      <c r="F52" s="150"/>
      <c r="G52" s="150"/>
      <c r="H52" s="150"/>
      <c r="I52" s="150"/>
      <c r="J52" s="150"/>
      <c r="K52" s="126"/>
      <c r="L52" s="173"/>
      <c r="M52" s="126"/>
      <c r="N52" s="126"/>
      <c r="O52" s="126"/>
      <c r="P52" s="150"/>
      <c r="Q52" s="126"/>
      <c r="R52" s="126"/>
      <c r="S52" s="126"/>
      <c r="T52" s="126"/>
      <c r="U52" s="126"/>
      <c r="V52" s="126"/>
      <c r="W52" s="211"/>
    </row>
    <row r="53" spans="1:25" ht="17.649999999999999" customHeight="1">
      <c r="A53" s="210"/>
      <c r="B53" s="126"/>
      <c r="C53" s="126"/>
      <c r="D53" s="126"/>
      <c r="E53" s="150"/>
      <c r="F53" s="150"/>
      <c r="G53" s="150"/>
      <c r="H53" s="150"/>
      <c r="I53" s="150"/>
      <c r="J53" s="150"/>
      <c r="K53" s="491" t="s">
        <v>134</v>
      </c>
      <c r="L53" s="491"/>
      <c r="M53" s="491"/>
      <c r="N53" s="126"/>
      <c r="O53" s="126"/>
      <c r="P53" s="150"/>
      <c r="Q53" s="126"/>
      <c r="R53" s="126"/>
      <c r="S53" s="126"/>
      <c r="T53" s="126"/>
      <c r="U53" s="126"/>
      <c r="V53" s="126"/>
      <c r="W53" s="211"/>
    </row>
    <row r="54" spans="1:25" ht="17.649999999999999" customHeight="1" thickBot="1">
      <c r="A54" s="210"/>
      <c r="B54" s="126"/>
      <c r="C54" s="126"/>
      <c r="D54" s="126"/>
      <c r="E54" s="150"/>
      <c r="F54" s="150"/>
      <c r="G54" s="150"/>
      <c r="H54" s="276">
        <f>+H42</f>
        <v>289.89999999999998</v>
      </c>
      <c r="I54" s="150"/>
      <c r="J54" s="150"/>
      <c r="K54" s="126"/>
      <c r="L54" s="126"/>
      <c r="M54" s="126"/>
      <c r="N54" s="126"/>
      <c r="O54" s="126"/>
      <c r="P54" s="276">
        <f>+M42</f>
        <v>290.60000000000002</v>
      </c>
      <c r="Q54" s="126"/>
      <c r="R54" s="126"/>
      <c r="S54" s="126"/>
      <c r="T54" s="126"/>
      <c r="U54" s="126"/>
      <c r="V54" s="126"/>
      <c r="W54" s="211"/>
    </row>
    <row r="55" spans="1:25" ht="9.9499999999999993" customHeight="1">
      <c r="A55" s="210"/>
      <c r="B55" s="126"/>
      <c r="C55" s="126"/>
      <c r="D55" s="126"/>
      <c r="E55" s="150"/>
      <c r="F55" s="150"/>
      <c r="G55" s="150"/>
      <c r="H55" s="696" t="str">
        <f>+I41</f>
        <v>R1</v>
      </c>
      <c r="I55" s="150"/>
      <c r="J55" s="150"/>
      <c r="K55" s="126"/>
      <c r="L55" s="173"/>
      <c r="M55" s="126"/>
      <c r="N55" s="126"/>
      <c r="O55" s="126"/>
      <c r="P55" s="696" t="str">
        <f>+N41</f>
        <v>R3</v>
      </c>
      <c r="Q55" s="126"/>
      <c r="R55" s="126"/>
      <c r="S55" s="126"/>
      <c r="T55" s="126"/>
      <c r="U55" s="126"/>
      <c r="V55" s="126"/>
      <c r="W55" s="211"/>
    </row>
    <row r="56" spans="1:25" ht="9.9499999999999993" customHeight="1" thickBot="1">
      <c r="A56" s="210"/>
      <c r="B56" s="126"/>
      <c r="C56" s="126"/>
      <c r="D56" s="174"/>
      <c r="E56" s="175"/>
      <c r="F56" s="175"/>
      <c r="G56" s="176"/>
      <c r="H56" s="697"/>
      <c r="I56" s="177"/>
      <c r="J56" s="175"/>
      <c r="K56" s="178"/>
      <c r="L56" s="179"/>
      <c r="M56" s="178"/>
      <c r="N56" s="178"/>
      <c r="O56" s="180"/>
      <c r="P56" s="697"/>
      <c r="Q56" s="181"/>
      <c r="R56" s="178"/>
      <c r="S56" s="178"/>
      <c r="T56" s="182"/>
      <c r="U56" s="126"/>
      <c r="V56" s="126"/>
      <c r="W56" s="211"/>
    </row>
    <row r="57" spans="1:25" ht="17.649999999999999" customHeight="1">
      <c r="A57" s="210"/>
      <c r="B57" s="126"/>
      <c r="C57" s="126"/>
      <c r="D57" s="129"/>
      <c r="E57" s="150"/>
      <c r="F57" s="150"/>
      <c r="G57" s="150"/>
      <c r="H57" s="150"/>
      <c r="I57" s="150"/>
      <c r="J57" s="150"/>
      <c r="K57" s="126"/>
      <c r="L57" s="183"/>
      <c r="M57" s="126"/>
      <c r="N57" s="126"/>
      <c r="O57" s="126"/>
      <c r="P57" s="150"/>
      <c r="Q57" s="126"/>
      <c r="R57" s="126"/>
      <c r="S57" s="126"/>
      <c r="T57" s="135"/>
      <c r="U57" s="126"/>
      <c r="V57" s="126"/>
      <c r="W57" s="211"/>
    </row>
    <row r="58" spans="1:25" ht="17.649999999999999" customHeight="1">
      <c r="A58" s="210"/>
      <c r="B58" s="126"/>
      <c r="C58" s="271" t="s">
        <v>25</v>
      </c>
      <c r="D58" s="129"/>
      <c r="E58" s="150"/>
      <c r="F58" s="150"/>
      <c r="G58" s="150"/>
      <c r="H58" s="150"/>
      <c r="I58" s="150"/>
      <c r="J58" s="150"/>
      <c r="K58" s="126"/>
      <c r="L58" s="183"/>
      <c r="M58" s="126"/>
      <c r="N58" s="126"/>
      <c r="O58" s="126"/>
      <c r="P58" s="150"/>
      <c r="Q58" s="126"/>
      <c r="R58" s="126"/>
      <c r="S58" s="126"/>
      <c r="T58" s="135"/>
      <c r="U58" s="271" t="s">
        <v>27</v>
      </c>
      <c r="V58" s="126"/>
      <c r="W58" s="211"/>
    </row>
    <row r="59" spans="1:25" ht="17.649999999999999" customHeight="1">
      <c r="A59" s="210"/>
      <c r="B59" s="126"/>
      <c r="C59" s="182"/>
      <c r="D59" s="129"/>
      <c r="E59" s="150"/>
      <c r="F59" s="150"/>
      <c r="G59" s="150"/>
      <c r="H59" s="150"/>
      <c r="I59" s="150"/>
      <c r="J59" s="150"/>
      <c r="K59" s="126"/>
      <c r="L59" s="183"/>
      <c r="M59" s="126"/>
      <c r="N59" s="126"/>
      <c r="O59" s="126"/>
      <c r="P59" s="150"/>
      <c r="Q59" s="126"/>
      <c r="R59" s="126"/>
      <c r="S59" s="126"/>
      <c r="T59" s="135"/>
      <c r="U59" s="174"/>
      <c r="V59" s="126"/>
      <c r="W59" s="211"/>
    </row>
    <row r="60" spans="1:25" ht="17.649999999999999" customHeight="1" thickBot="1">
      <c r="A60" s="210"/>
      <c r="B60" s="126"/>
      <c r="C60" s="126"/>
      <c r="D60" s="129"/>
      <c r="E60" s="150"/>
      <c r="F60" s="150"/>
      <c r="G60" s="150"/>
      <c r="H60" s="276">
        <f>+H49</f>
        <v>289.89999999999998</v>
      </c>
      <c r="I60" s="150"/>
      <c r="J60" s="150"/>
      <c r="K60" s="126"/>
      <c r="L60" s="183"/>
      <c r="M60" s="126"/>
      <c r="N60" s="126"/>
      <c r="O60" s="126"/>
      <c r="P60" s="276">
        <f>+M49</f>
        <v>290.60000000000002</v>
      </c>
      <c r="Q60" s="126"/>
      <c r="R60" s="126"/>
      <c r="S60" s="126"/>
      <c r="T60" s="135"/>
      <c r="U60" s="126"/>
      <c r="V60" s="126"/>
      <c r="W60" s="211"/>
    </row>
    <row r="61" spans="1:25" ht="9.9499999999999993" customHeight="1">
      <c r="A61" s="210"/>
      <c r="B61" s="126"/>
      <c r="C61" s="126"/>
      <c r="D61" s="160"/>
      <c r="E61" s="150"/>
      <c r="F61" s="150"/>
      <c r="G61" s="150"/>
      <c r="H61" s="696" t="str">
        <f>+I48</f>
        <v>R2</v>
      </c>
      <c r="I61" s="150"/>
      <c r="J61" s="150"/>
      <c r="K61" s="126"/>
      <c r="L61" s="184"/>
      <c r="M61" s="126"/>
      <c r="N61" s="126"/>
      <c r="O61" s="126"/>
      <c r="P61" s="696" t="str">
        <f>+N48</f>
        <v>R4</v>
      </c>
      <c r="Q61" s="126"/>
      <c r="R61" s="126"/>
      <c r="S61" s="126"/>
      <c r="T61" s="164"/>
      <c r="U61" s="126"/>
      <c r="V61" s="126"/>
      <c r="W61" s="211"/>
    </row>
    <row r="62" spans="1:25" ht="9.9499999999999993" customHeight="1" thickBot="1">
      <c r="A62" s="210"/>
      <c r="B62" s="126"/>
      <c r="C62" s="126"/>
      <c r="D62" s="178"/>
      <c r="E62" s="175"/>
      <c r="F62" s="175"/>
      <c r="G62" s="176"/>
      <c r="H62" s="697"/>
      <c r="I62" s="177"/>
      <c r="J62" s="175"/>
      <c r="K62" s="178"/>
      <c r="L62" s="185"/>
      <c r="M62" s="178"/>
      <c r="N62" s="178"/>
      <c r="O62" s="180"/>
      <c r="P62" s="697"/>
      <c r="Q62" s="181"/>
      <c r="R62" s="178"/>
      <c r="S62" s="178"/>
      <c r="T62" s="178"/>
      <c r="U62" s="126"/>
      <c r="V62" s="126"/>
      <c r="W62" s="211"/>
    </row>
    <row r="63" spans="1:25" ht="17.649999999999999" customHeight="1">
      <c r="A63" s="210"/>
      <c r="B63" s="126"/>
      <c r="C63" s="126"/>
      <c r="D63" s="126"/>
      <c r="E63" s="150"/>
      <c r="F63" s="150"/>
      <c r="G63" s="150"/>
      <c r="H63" s="150"/>
      <c r="I63" s="150"/>
      <c r="J63" s="150"/>
      <c r="K63" s="126"/>
      <c r="L63" s="173"/>
      <c r="M63" s="126"/>
      <c r="N63" s="126"/>
      <c r="O63" s="126"/>
      <c r="P63" s="150"/>
      <c r="Q63" s="126"/>
      <c r="R63" s="126"/>
      <c r="S63" s="126"/>
      <c r="T63" s="126"/>
      <c r="U63" s="126"/>
      <c r="V63" s="126"/>
      <c r="W63" s="211"/>
    </row>
    <row r="64" spans="1:25" ht="17.649999999999999" customHeight="1">
      <c r="A64" s="210"/>
      <c r="B64" s="126"/>
      <c r="C64" s="126"/>
      <c r="D64" s="126"/>
      <c r="E64" s="150"/>
      <c r="F64" s="150"/>
      <c r="G64" s="150"/>
      <c r="H64" s="150"/>
      <c r="I64" s="150"/>
      <c r="J64" s="150"/>
      <c r="K64" s="491" t="str">
        <f>+$K$53</f>
        <v>Kredsløbet transformeres til</v>
      </c>
      <c r="L64" s="491"/>
      <c r="M64" s="491"/>
      <c r="N64" s="126"/>
      <c r="O64" s="126"/>
      <c r="P64" s="150"/>
      <c r="Q64" s="126"/>
      <c r="R64" s="126"/>
      <c r="S64" s="126"/>
      <c r="T64" s="126"/>
      <c r="U64" s="126"/>
      <c r="V64" s="126"/>
      <c r="W64" s="211"/>
    </row>
    <row r="65" spans="1:23" ht="17.649999999999999" customHeight="1">
      <c r="A65" s="210"/>
      <c r="B65" s="126"/>
      <c r="C65" s="126"/>
      <c r="D65" s="126"/>
      <c r="E65" s="150"/>
      <c r="F65" s="150"/>
      <c r="G65" s="150"/>
      <c r="H65" s="271"/>
      <c r="I65" s="150"/>
      <c r="J65" s="150"/>
      <c r="K65" s="126"/>
      <c r="L65" s="173"/>
      <c r="M65" s="126"/>
      <c r="N65" s="126"/>
      <c r="O65" s="126"/>
      <c r="P65" s="271"/>
      <c r="Q65" s="126"/>
      <c r="R65" s="126"/>
      <c r="S65" s="126"/>
      <c r="T65" s="126"/>
      <c r="U65" s="126"/>
      <c r="V65" s="126"/>
      <c r="W65" s="211"/>
    </row>
    <row r="66" spans="1:23" ht="17.649999999999999" customHeight="1" thickBot="1">
      <c r="A66" s="210"/>
      <c r="B66" s="126"/>
      <c r="C66" s="126"/>
      <c r="D66" s="126"/>
      <c r="E66" s="150"/>
      <c r="F66" s="150"/>
      <c r="G66" s="150"/>
      <c r="H66" s="169">
        <f>H54*H60/(H54+H60)</f>
        <v>144.94999999999999</v>
      </c>
      <c r="I66" s="150"/>
      <c r="J66" s="150"/>
      <c r="K66" s="126"/>
      <c r="L66" s="173"/>
      <c r="M66" s="126"/>
      <c r="N66" s="126"/>
      <c r="O66" s="126"/>
      <c r="P66" s="169">
        <f>P54*P60/(P54+P60)</f>
        <v>145.30000000000001</v>
      </c>
      <c r="Q66" s="126"/>
      <c r="R66" s="126"/>
      <c r="S66" s="126"/>
      <c r="T66" s="126"/>
      <c r="U66" s="126"/>
      <c r="V66" s="126"/>
      <c r="W66" s="211"/>
    </row>
    <row r="67" spans="1:23" ht="9.9499999999999993" customHeight="1">
      <c r="A67" s="210"/>
      <c r="B67" s="126"/>
      <c r="C67" s="504" t="s">
        <v>25</v>
      </c>
      <c r="D67" s="126"/>
      <c r="E67" s="150"/>
      <c r="F67" s="150"/>
      <c r="G67" s="150"/>
      <c r="H67" s="721" t="s">
        <v>136</v>
      </c>
      <c r="I67" s="150"/>
      <c r="J67" s="150"/>
      <c r="K67" s="126"/>
      <c r="L67" s="173"/>
      <c r="M67" s="126"/>
      <c r="N67" s="126"/>
      <c r="O67" s="126"/>
      <c r="P67" s="721" t="s">
        <v>137</v>
      </c>
      <c r="Q67" s="126"/>
      <c r="R67" s="126"/>
      <c r="S67" s="126"/>
      <c r="T67" s="126"/>
      <c r="U67" s="504" t="s">
        <v>27</v>
      </c>
      <c r="V67" s="126"/>
      <c r="W67" s="211"/>
    </row>
    <row r="68" spans="1:23" ht="9.9499999999999993" customHeight="1" thickBot="1">
      <c r="A68" s="210"/>
      <c r="B68" s="126"/>
      <c r="C68" s="504"/>
      <c r="D68" s="178"/>
      <c r="E68" s="175"/>
      <c r="F68" s="175"/>
      <c r="G68" s="176"/>
      <c r="H68" s="722"/>
      <c r="I68" s="177"/>
      <c r="J68" s="175"/>
      <c r="K68" s="178"/>
      <c r="L68" s="185"/>
      <c r="M68" s="178"/>
      <c r="N68" s="178"/>
      <c r="O68" s="180"/>
      <c r="P68" s="722"/>
      <c r="Q68" s="181"/>
      <c r="R68" s="178"/>
      <c r="S68" s="178"/>
      <c r="T68" s="178"/>
      <c r="U68" s="504"/>
      <c r="V68" s="126"/>
      <c r="W68" s="211"/>
    </row>
    <row r="69" spans="1:23" ht="17.649999999999999" customHeight="1">
      <c r="A69" s="210"/>
      <c r="B69" s="126"/>
      <c r="C69" s="126"/>
      <c r="D69" s="126"/>
      <c r="E69" s="150"/>
      <c r="F69" s="150"/>
      <c r="G69" s="150"/>
      <c r="H69" s="150"/>
      <c r="I69" s="150"/>
      <c r="J69" s="150"/>
      <c r="K69" s="126"/>
      <c r="L69" s="173"/>
      <c r="M69" s="126"/>
      <c r="N69" s="126"/>
      <c r="O69" s="126"/>
      <c r="P69" s="150"/>
      <c r="Q69" s="126"/>
      <c r="R69" s="126"/>
      <c r="S69" s="126"/>
      <c r="T69" s="126"/>
      <c r="U69" s="126"/>
      <c r="V69" s="126"/>
      <c r="W69" s="211"/>
    </row>
    <row r="70" spans="1:23" ht="17.649999999999999" customHeight="1">
      <c r="A70" s="210"/>
      <c r="B70" s="126"/>
      <c r="C70" s="126"/>
      <c r="D70" s="126"/>
      <c r="E70" s="150"/>
      <c r="F70" s="150"/>
      <c r="G70" s="150"/>
      <c r="H70" s="150"/>
      <c r="I70" s="150"/>
      <c r="J70" s="150"/>
      <c r="K70" s="491" t="str">
        <f>+$K$53</f>
        <v>Kredsløbet transformeres til</v>
      </c>
      <c r="L70" s="491"/>
      <c r="M70" s="491"/>
      <c r="N70" s="126"/>
      <c r="O70" s="126"/>
      <c r="P70" s="150"/>
      <c r="Q70" s="126"/>
      <c r="R70" s="126"/>
      <c r="S70" s="126"/>
      <c r="T70" s="126"/>
      <c r="U70" s="126"/>
      <c r="V70" s="126"/>
      <c r="W70" s="211"/>
    </row>
    <row r="71" spans="1:23" ht="17.649999999999999" customHeight="1">
      <c r="A71" s="210"/>
      <c r="B71" s="126"/>
      <c r="C71" s="126"/>
      <c r="D71" s="126"/>
      <c r="E71" s="150"/>
      <c r="F71" s="150"/>
      <c r="G71" s="150"/>
      <c r="H71" s="150"/>
      <c r="I71" s="150"/>
      <c r="J71" s="150"/>
      <c r="K71" s="126"/>
      <c r="L71" s="126"/>
      <c r="M71" s="126"/>
      <c r="N71" s="126"/>
      <c r="O71" s="126"/>
      <c r="P71" s="150"/>
      <c r="Q71" s="126"/>
      <c r="R71" s="126"/>
      <c r="S71" s="126"/>
      <c r="T71" s="126"/>
      <c r="U71" s="126"/>
      <c r="V71" s="126"/>
      <c r="W71" s="211"/>
    </row>
    <row r="72" spans="1:23" ht="17.649999999999999" customHeight="1" thickBot="1">
      <c r="A72" s="210"/>
      <c r="B72" s="126"/>
      <c r="C72" s="126"/>
      <c r="D72" s="126"/>
      <c r="E72" s="150"/>
      <c r="F72" s="150"/>
      <c r="G72" s="150"/>
      <c r="H72" s="150"/>
      <c r="I72" s="150"/>
      <c r="J72" s="150"/>
      <c r="K72" s="126"/>
      <c r="L72" s="168">
        <f>H66+P66</f>
        <v>290.25</v>
      </c>
      <c r="M72" s="126"/>
      <c r="N72" s="126"/>
      <c r="O72" s="126"/>
      <c r="P72" s="150"/>
      <c r="Q72" s="126"/>
      <c r="R72" s="126"/>
      <c r="S72" s="126"/>
      <c r="T72" s="126"/>
      <c r="U72" s="126"/>
      <c r="V72" s="126"/>
      <c r="W72" s="211"/>
    </row>
    <row r="73" spans="1:23" ht="9.9499999999999993" customHeight="1">
      <c r="A73" s="210"/>
      <c r="B73" s="126"/>
      <c r="C73" s="504" t="s">
        <v>25</v>
      </c>
      <c r="D73" s="126"/>
      <c r="E73" s="150"/>
      <c r="F73" s="150"/>
      <c r="G73" s="150"/>
      <c r="H73" s="150"/>
      <c r="I73" s="150"/>
      <c r="J73" s="150"/>
      <c r="K73" s="126"/>
      <c r="L73" s="704" t="s">
        <v>138</v>
      </c>
      <c r="M73" s="126"/>
      <c r="N73" s="126"/>
      <c r="O73" s="126"/>
      <c r="P73" s="150"/>
      <c r="Q73" s="126"/>
      <c r="R73" s="126"/>
      <c r="S73" s="126"/>
      <c r="T73" s="126"/>
      <c r="U73" s="504" t="s">
        <v>27</v>
      </c>
      <c r="V73" s="126"/>
      <c r="W73" s="211"/>
    </row>
    <row r="74" spans="1:23" ht="9.9499999999999993" customHeight="1" thickBot="1">
      <c r="A74" s="210"/>
      <c r="B74" s="126"/>
      <c r="C74" s="504"/>
      <c r="D74" s="178"/>
      <c r="E74" s="175"/>
      <c r="F74" s="175"/>
      <c r="G74" s="175"/>
      <c r="H74" s="175"/>
      <c r="I74" s="175"/>
      <c r="J74" s="175"/>
      <c r="K74" s="180"/>
      <c r="L74" s="705"/>
      <c r="M74" s="181"/>
      <c r="N74" s="178"/>
      <c r="O74" s="178"/>
      <c r="P74" s="175"/>
      <c r="Q74" s="178"/>
      <c r="R74" s="178"/>
      <c r="S74" s="178"/>
      <c r="T74" s="178"/>
      <c r="U74" s="504"/>
      <c r="V74" s="126"/>
      <c r="W74" s="211"/>
    </row>
    <row r="75" spans="1:23" ht="17.649999999999999" customHeight="1">
      <c r="A75" s="210"/>
      <c r="B75" s="126"/>
      <c r="C75" s="126"/>
      <c r="D75" s="126"/>
      <c r="E75" s="150"/>
      <c r="F75" s="150"/>
      <c r="G75" s="150"/>
      <c r="H75" s="150"/>
      <c r="I75" s="150"/>
      <c r="J75" s="150"/>
      <c r="K75" s="126"/>
      <c r="L75" s="173"/>
      <c r="M75" s="126"/>
      <c r="N75" s="126"/>
      <c r="O75" s="126"/>
      <c r="P75" s="150"/>
      <c r="Q75" s="126"/>
      <c r="R75" s="126"/>
      <c r="S75" s="126"/>
      <c r="T75" s="126"/>
      <c r="U75" s="126"/>
      <c r="V75" s="126"/>
      <c r="W75" s="211"/>
    </row>
    <row r="76" spans="1:23" ht="17.649999999999999" customHeight="1">
      <c r="A76" s="210"/>
      <c r="B76" s="126"/>
      <c r="C76" s="126"/>
      <c r="D76" s="126"/>
      <c r="E76" s="150"/>
      <c r="F76" s="150"/>
      <c r="G76" s="150"/>
      <c r="H76" s="150"/>
      <c r="I76" s="150"/>
      <c r="J76" s="150"/>
      <c r="K76" s="126"/>
      <c r="L76" s="173"/>
      <c r="M76" s="126"/>
      <c r="N76" s="126"/>
      <c r="O76" s="126"/>
      <c r="P76" s="150"/>
      <c r="Q76" s="126"/>
      <c r="R76" s="126"/>
      <c r="S76" s="126"/>
      <c r="T76" s="126"/>
      <c r="U76" s="126"/>
      <c r="V76" s="126"/>
      <c r="W76" s="211"/>
    </row>
    <row r="77" spans="1:23" ht="17.649999999999999" customHeight="1">
      <c r="A77" s="210"/>
      <c r="B77" s="126"/>
      <c r="C77" s="126"/>
      <c r="D77" s="126"/>
      <c r="E77" s="150"/>
      <c r="F77" s="150"/>
      <c r="G77" s="150"/>
      <c r="H77" s="150"/>
      <c r="I77" s="150"/>
      <c r="J77" s="150"/>
      <c r="K77" s="126"/>
      <c r="L77" s="173"/>
      <c r="M77" s="126"/>
      <c r="N77" s="126"/>
      <c r="O77" s="126"/>
      <c r="P77" s="150"/>
      <c r="Q77" s="126"/>
      <c r="R77" s="126"/>
      <c r="S77" s="126"/>
      <c r="T77" s="126"/>
      <c r="U77" s="126"/>
      <c r="V77" s="126"/>
      <c r="W77" s="211"/>
    </row>
    <row r="78" spans="1:23" ht="17.649999999999999" customHeight="1">
      <c r="A78" s="210"/>
      <c r="B78" s="126"/>
      <c r="C78" s="126"/>
      <c r="D78" s="126"/>
      <c r="E78" s="150"/>
      <c r="F78" s="150"/>
      <c r="G78" s="150"/>
      <c r="H78" s="150"/>
      <c r="I78" s="150"/>
      <c r="J78" s="150"/>
      <c r="K78" s="126"/>
      <c r="L78" s="173"/>
      <c r="M78" s="126"/>
      <c r="N78" s="126"/>
      <c r="O78" s="126"/>
      <c r="P78" s="150"/>
      <c r="Q78" s="126"/>
      <c r="R78" s="126"/>
      <c r="S78" s="126"/>
      <c r="T78" s="126"/>
      <c r="U78" s="126"/>
      <c r="V78" s="126"/>
      <c r="W78" s="211"/>
    </row>
    <row r="79" spans="1:23" ht="17.649999999999999" customHeight="1">
      <c r="A79" s="210"/>
      <c r="B79" s="725" t="s">
        <v>160</v>
      </c>
      <c r="C79" s="725"/>
      <c r="D79" s="725"/>
      <c r="E79" s="725"/>
      <c r="F79" s="725"/>
      <c r="G79" s="725"/>
      <c r="H79" s="725"/>
      <c r="I79" s="725"/>
      <c r="J79" s="725"/>
      <c r="K79" s="725"/>
      <c r="L79" s="173"/>
      <c r="M79" s="126"/>
      <c r="N79" s="126"/>
      <c r="O79" s="126"/>
      <c r="P79" s="150"/>
      <c r="Q79" s="126"/>
      <c r="R79" s="126"/>
      <c r="S79" s="126"/>
      <c r="T79" s="126"/>
      <c r="U79" s="126"/>
      <c r="V79" s="126"/>
      <c r="W79" s="211"/>
    </row>
    <row r="80" spans="1:23" ht="17.649999999999999" customHeight="1">
      <c r="A80" s="210"/>
      <c r="B80" s="126"/>
      <c r="C80" s="126"/>
      <c r="D80" s="126"/>
      <c r="E80" s="150"/>
      <c r="F80" s="271" t="s">
        <v>13</v>
      </c>
      <c r="G80" s="150"/>
      <c r="H80" s="150"/>
      <c r="I80" s="150"/>
      <c r="J80" s="150"/>
      <c r="K80" s="126"/>
      <c r="L80" s="173"/>
      <c r="M80" s="126"/>
      <c r="N80" s="126"/>
      <c r="O80" s="126"/>
      <c r="P80" s="150"/>
      <c r="Q80" s="126"/>
      <c r="R80" s="126"/>
      <c r="S80" s="126"/>
      <c r="T80" s="126"/>
      <c r="U80" s="126"/>
      <c r="V80" s="126"/>
      <c r="W80" s="211"/>
    </row>
    <row r="81" spans="1:25" ht="17.649999999999999" customHeight="1" thickBot="1">
      <c r="A81" s="210"/>
      <c r="B81" s="126"/>
      <c r="C81" s="126"/>
      <c r="D81" s="126"/>
      <c r="E81" s="126"/>
      <c r="F81" s="169">
        <f>+L72</f>
        <v>290.25</v>
      </c>
      <c r="G81" s="126"/>
      <c r="H81" s="186"/>
      <c r="I81" s="272"/>
      <c r="J81" s="272"/>
      <c r="K81" s="272"/>
      <c r="L81" s="243" t="s">
        <v>154</v>
      </c>
      <c r="M81" s="242"/>
      <c r="N81" s="242"/>
      <c r="O81" s="242"/>
      <c r="P81" s="242"/>
      <c r="Q81" s="242"/>
      <c r="R81" s="126"/>
      <c r="S81" s="126"/>
      <c r="T81" s="126"/>
      <c r="U81" s="126"/>
      <c r="V81" s="126"/>
      <c r="W81" s="211"/>
      <c r="Y81" s="122"/>
    </row>
    <row r="82" spans="1:25" ht="9.9499999999999993" customHeight="1">
      <c r="A82" s="210"/>
      <c r="B82" s="126"/>
      <c r="C82" s="126"/>
      <c r="D82" s="128"/>
      <c r="E82" s="128"/>
      <c r="F82" s="706" t="s">
        <v>138</v>
      </c>
      <c r="G82" s="128"/>
      <c r="H82" s="157"/>
      <c r="I82" s="136"/>
      <c r="J82" s="136"/>
      <c r="K82" s="720" t="s">
        <v>25</v>
      </c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217"/>
      <c r="X82" s="124"/>
    </row>
    <row r="83" spans="1:25" ht="9.9499999999999993" customHeight="1" thickBot="1">
      <c r="A83" s="210"/>
      <c r="B83" s="126"/>
      <c r="C83" s="126"/>
      <c r="D83" s="174"/>
      <c r="E83" s="126"/>
      <c r="F83" s="707"/>
      <c r="G83" s="126"/>
      <c r="H83" s="153"/>
      <c r="I83" s="187"/>
      <c r="J83" s="272"/>
      <c r="K83" s="720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217"/>
      <c r="X83" s="124"/>
    </row>
    <row r="84" spans="1:25" ht="17.649999999999999" customHeight="1" thickBot="1">
      <c r="A84" s="210"/>
      <c r="B84" s="126"/>
      <c r="C84" s="126"/>
      <c r="D84" s="188"/>
      <c r="E84" s="126"/>
      <c r="F84" s="126"/>
      <c r="G84" s="126"/>
      <c r="H84" s="157"/>
      <c r="I84" s="189"/>
      <c r="J84" s="190"/>
      <c r="K84" s="190"/>
      <c r="L84" s="703" t="s">
        <v>139</v>
      </c>
      <c r="M84" s="703"/>
      <c r="N84" s="33"/>
      <c r="O84" s="33"/>
      <c r="P84" s="33"/>
      <c r="Q84" s="126"/>
      <c r="R84" s="126"/>
      <c r="S84" s="126"/>
      <c r="T84" s="126"/>
      <c r="U84" s="126"/>
      <c r="V84" s="126"/>
      <c r="W84" s="211"/>
    </row>
    <row r="85" spans="1:25" ht="17.649999999999999" customHeight="1">
      <c r="A85" s="213"/>
      <c r="B85" s="296" t="s">
        <v>6</v>
      </c>
      <c r="C85" s="714" t="s">
        <v>128</v>
      </c>
      <c r="D85" s="715"/>
      <c r="E85" s="244" t="s">
        <v>117</v>
      </c>
      <c r="F85" s="126"/>
      <c r="G85" s="126"/>
      <c r="H85" s="126"/>
      <c r="I85" s="708" t="s">
        <v>123</v>
      </c>
      <c r="J85" s="709"/>
      <c r="K85" s="272" t="s">
        <v>13</v>
      </c>
      <c r="L85" s="685">
        <f>B86/(F81+K86)</f>
        <v>0</v>
      </c>
      <c r="M85" s="685"/>
      <c r="N85" s="191"/>
      <c r="O85" s="191"/>
      <c r="P85" s="275" t="s">
        <v>140</v>
      </c>
      <c r="Q85" s="126"/>
      <c r="R85" s="126"/>
      <c r="S85" s="126"/>
      <c r="T85" s="299"/>
      <c r="U85" s="126"/>
      <c r="V85" s="272"/>
      <c r="W85" s="214"/>
    </row>
    <row r="86" spans="1:25" ht="17.649999999999999" customHeight="1">
      <c r="A86" s="215"/>
      <c r="B86" s="231">
        <f>+L31</f>
        <v>0</v>
      </c>
      <c r="C86" s="716"/>
      <c r="D86" s="717"/>
      <c r="E86" s="213"/>
      <c r="F86" s="136"/>
      <c r="G86" s="136"/>
      <c r="H86" s="214"/>
      <c r="I86" s="710"/>
      <c r="J86" s="711"/>
      <c r="K86" s="271">
        <f>+M5</f>
        <v>9.9999999999999998E+23</v>
      </c>
      <c r="L86" s="685">
        <f>+$L$85*1000</f>
        <v>0</v>
      </c>
      <c r="M86" s="685"/>
      <c r="N86" s="126"/>
      <c r="O86" s="126"/>
      <c r="P86" s="271" t="s">
        <v>147</v>
      </c>
      <c r="Q86" s="126"/>
      <c r="R86" s="126"/>
      <c r="S86" s="126"/>
      <c r="T86" s="126"/>
      <c r="U86" s="126"/>
      <c r="V86" s="159"/>
      <c r="W86" s="216"/>
    </row>
    <row r="87" spans="1:25" ht="17.649999999999999" customHeight="1">
      <c r="A87" s="213"/>
      <c r="B87" s="192"/>
      <c r="C87" s="716"/>
      <c r="D87" s="717"/>
      <c r="E87" s="126"/>
      <c r="F87" s="126"/>
      <c r="G87" s="33"/>
      <c r="H87" s="33"/>
      <c r="I87" s="710"/>
      <c r="J87" s="711"/>
      <c r="K87" s="272"/>
      <c r="L87" s="685">
        <f>+$L$85*1000000</f>
        <v>0</v>
      </c>
      <c r="M87" s="685"/>
      <c r="N87" s="126"/>
      <c r="O87" s="126"/>
      <c r="P87" s="194" t="s">
        <v>150</v>
      </c>
      <c r="Q87" s="126"/>
      <c r="R87" s="126"/>
      <c r="S87" s="126"/>
      <c r="T87" s="126"/>
      <c r="U87" s="126"/>
      <c r="V87" s="193"/>
      <c r="W87" s="214"/>
    </row>
    <row r="88" spans="1:25" ht="17.649999999999999" customHeight="1" thickBot="1">
      <c r="A88" s="210"/>
      <c r="B88" s="126"/>
      <c r="C88" s="718"/>
      <c r="D88" s="719"/>
      <c r="E88" s="126"/>
      <c r="F88" s="126"/>
      <c r="G88" s="33"/>
      <c r="H88" s="33"/>
      <c r="I88" s="712"/>
      <c r="J88" s="713"/>
      <c r="K88" s="195"/>
      <c r="L88" s="685">
        <f>+$L$85*1000000000</f>
        <v>0</v>
      </c>
      <c r="M88" s="685"/>
      <c r="N88" s="272"/>
      <c r="O88" s="272"/>
      <c r="P88" s="194" t="s">
        <v>149</v>
      </c>
      <c r="Q88" s="126"/>
      <c r="R88" s="126"/>
      <c r="S88" s="126"/>
      <c r="T88" s="126"/>
      <c r="U88" s="126"/>
      <c r="V88" s="126"/>
      <c r="W88" s="211"/>
      <c r="Y88" s="123"/>
    </row>
    <row r="89" spans="1:25" ht="17.649999999999999" customHeight="1">
      <c r="A89" s="210"/>
      <c r="B89" s="126"/>
      <c r="C89" s="126"/>
      <c r="D89" s="196"/>
      <c r="E89" s="126"/>
      <c r="F89" s="126"/>
      <c r="G89" s="33"/>
      <c r="H89" s="33"/>
      <c r="I89" s="197"/>
      <c r="J89" s="195"/>
      <c r="K89" s="195"/>
      <c r="L89" s="685" t="s">
        <v>152</v>
      </c>
      <c r="M89" s="685"/>
      <c r="N89" s="250"/>
      <c r="O89" s="250"/>
      <c r="P89" s="250"/>
      <c r="Q89" s="126"/>
      <c r="R89" s="126"/>
      <c r="S89" s="126"/>
      <c r="T89" s="126"/>
      <c r="U89" s="126"/>
      <c r="V89" s="126"/>
      <c r="W89" s="211"/>
      <c r="Y89" s="123"/>
    </row>
    <row r="90" spans="1:25" ht="17.649999999999999" customHeight="1">
      <c r="A90" s="210"/>
      <c r="B90" s="126"/>
      <c r="C90" s="126"/>
      <c r="D90" s="160"/>
      <c r="E90" s="128"/>
      <c r="F90" s="128"/>
      <c r="G90" s="128"/>
      <c r="H90" s="128"/>
      <c r="I90" s="164"/>
      <c r="J90" s="126"/>
      <c r="K90" s="126" t="s">
        <v>27</v>
      </c>
      <c r="L90" s="685" t="s">
        <v>153</v>
      </c>
      <c r="M90" s="685"/>
      <c r="N90" s="126"/>
      <c r="O90" s="126"/>
      <c r="P90" s="126"/>
      <c r="Q90" s="126"/>
      <c r="R90" s="126"/>
      <c r="S90" s="126"/>
      <c r="T90" s="126"/>
      <c r="U90" s="126"/>
      <c r="V90" s="126"/>
      <c r="W90" s="211"/>
    </row>
    <row r="91" spans="1:25" ht="17.649999999999999" customHeight="1">
      <c r="A91" s="210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211"/>
    </row>
    <row r="92" spans="1:25" ht="17.649999999999999" customHeight="1">
      <c r="A92" s="210"/>
      <c r="B92" s="126"/>
      <c r="C92" s="126"/>
      <c r="D92" s="126"/>
      <c r="E92" s="126"/>
      <c r="F92" s="126"/>
      <c r="G92" s="126"/>
      <c r="H92" s="198"/>
      <c r="I92" s="126"/>
      <c r="J92" s="126"/>
      <c r="K92" s="126"/>
      <c r="L92" s="126"/>
      <c r="M92" s="251"/>
      <c r="N92" s="251"/>
      <c r="O92" s="251"/>
      <c r="P92" s="251"/>
      <c r="Q92" s="251"/>
      <c r="R92" s="251"/>
      <c r="S92" s="251"/>
      <c r="T92" s="251"/>
      <c r="U92" s="251"/>
      <c r="V92" s="126"/>
      <c r="W92" s="211"/>
    </row>
    <row r="93" spans="1:25" ht="17.649999999999999" customHeight="1">
      <c r="A93" s="210"/>
      <c r="B93" s="126"/>
      <c r="C93" s="126"/>
      <c r="D93" s="126"/>
      <c r="E93" s="126"/>
      <c r="F93" s="126"/>
      <c r="G93" s="126"/>
      <c r="H93" s="198"/>
      <c r="I93" s="126"/>
      <c r="J93" s="126"/>
      <c r="K93" s="126"/>
      <c r="L93" s="126"/>
      <c r="M93" s="251"/>
      <c r="N93" s="251"/>
      <c r="O93" s="251"/>
      <c r="P93" s="251"/>
      <c r="Q93" s="251"/>
      <c r="R93" s="251"/>
      <c r="S93" s="251"/>
      <c r="T93" s="251"/>
      <c r="U93" s="251"/>
      <c r="V93" s="126"/>
      <c r="W93" s="211"/>
    </row>
    <row r="94" spans="1:25" ht="17.649999999999999" customHeight="1">
      <c r="A94" s="210"/>
      <c r="B94" s="126"/>
      <c r="C94" s="126"/>
      <c r="D94" s="126"/>
      <c r="E94" s="126"/>
      <c r="F94" s="126"/>
      <c r="G94" s="126"/>
      <c r="H94" s="198"/>
      <c r="I94" s="126"/>
      <c r="J94" s="126"/>
      <c r="K94" s="126"/>
      <c r="L94" s="126"/>
      <c r="M94" s="251"/>
      <c r="N94" s="251"/>
      <c r="O94" s="251"/>
      <c r="P94" s="251"/>
      <c r="Q94" s="251"/>
      <c r="R94" s="251"/>
      <c r="S94" s="251"/>
      <c r="T94" s="251"/>
      <c r="U94" s="251"/>
      <c r="V94" s="126"/>
      <c r="W94" s="211"/>
    </row>
    <row r="95" spans="1:25" ht="17.649999999999999" customHeight="1">
      <c r="A95" s="210"/>
      <c r="B95" s="725" t="s">
        <v>161</v>
      </c>
      <c r="C95" s="725"/>
      <c r="D95" s="725"/>
      <c r="E95" s="725"/>
      <c r="F95" s="725"/>
      <c r="G95" s="725"/>
      <c r="H95" s="725"/>
      <c r="I95" s="725"/>
      <c r="J95" s="725"/>
      <c r="K95" s="725"/>
      <c r="L95" s="126"/>
      <c r="M95" s="251"/>
      <c r="N95" s="251"/>
      <c r="O95" s="251"/>
      <c r="P95" s="251"/>
      <c r="Q95" s="251"/>
      <c r="R95" s="251"/>
      <c r="S95" s="251"/>
      <c r="T95" s="251"/>
      <c r="U95" s="251"/>
      <c r="V95" s="126"/>
      <c r="W95" s="211"/>
    </row>
    <row r="96" spans="1:25" ht="17.649999999999999" customHeight="1">
      <c r="A96" s="210"/>
      <c r="B96" s="126"/>
      <c r="C96" s="126"/>
      <c r="D96" s="128"/>
      <c r="E96" s="128"/>
      <c r="F96" s="128"/>
      <c r="G96" s="128"/>
      <c r="H96" s="245"/>
      <c r="I96" s="163"/>
      <c r="J96" s="163"/>
      <c r="K96" s="170" t="s">
        <v>25</v>
      </c>
      <c r="L96" s="126"/>
      <c r="M96" s="251"/>
      <c r="N96" s="199"/>
      <c r="O96" s="199"/>
      <c r="P96" s="199"/>
      <c r="Q96" s="199"/>
      <c r="R96" s="199"/>
      <c r="S96" s="199"/>
      <c r="T96" s="199"/>
      <c r="U96" s="199"/>
      <c r="V96" s="126"/>
      <c r="W96" s="211"/>
    </row>
    <row r="97" spans="1:23" ht="17.649999999999999" customHeight="1">
      <c r="A97" s="210"/>
      <c r="B97" s="126"/>
      <c r="C97" s="126"/>
      <c r="D97" s="129"/>
      <c r="E97" s="126"/>
      <c r="F97" s="126"/>
      <c r="G97" s="126"/>
      <c r="H97" s="157"/>
      <c r="I97" s="133"/>
      <c r="J97" s="272"/>
      <c r="K97" s="157"/>
      <c r="L97" s="200"/>
      <c r="M97" s="199" t="s">
        <v>169</v>
      </c>
      <c r="N97" s="199"/>
      <c r="O97" s="199"/>
      <c r="P97" s="199"/>
      <c r="Q97" s="199"/>
      <c r="R97" s="199"/>
      <c r="S97" s="199"/>
      <c r="T97" s="199"/>
      <c r="U97" s="199"/>
      <c r="V97" s="201"/>
      <c r="W97" s="211"/>
    </row>
    <row r="98" spans="1:23" ht="17.649999999999999" customHeight="1" thickBot="1">
      <c r="A98" s="210"/>
      <c r="B98" s="126"/>
      <c r="C98" s="126"/>
      <c r="D98" s="188"/>
      <c r="E98" s="126"/>
      <c r="F98" s="126"/>
      <c r="G98" s="126"/>
      <c r="H98" s="157"/>
      <c r="I98" s="189"/>
      <c r="J98" s="190"/>
      <c r="K98" s="190"/>
      <c r="L98" s="200"/>
      <c r="M98" s="199"/>
      <c r="N98" s="199"/>
      <c r="O98" s="199"/>
      <c r="P98" s="199"/>
      <c r="Q98" s="199"/>
      <c r="R98" s="199"/>
      <c r="S98" s="199"/>
      <c r="T98" s="199"/>
      <c r="U98" s="199"/>
      <c r="V98" s="201"/>
      <c r="W98" s="211"/>
    </row>
    <row r="99" spans="1:23" ht="17.649999999999999" customHeight="1">
      <c r="A99" s="496" t="s">
        <v>140</v>
      </c>
      <c r="B99" s="693"/>
      <c r="C99" s="714" t="s">
        <v>155</v>
      </c>
      <c r="D99" s="715"/>
      <c r="E99" s="244" t="s">
        <v>117</v>
      </c>
      <c r="F99" s="126"/>
      <c r="G99" s="126"/>
      <c r="H99" s="126"/>
      <c r="I99" s="708" t="s">
        <v>156</v>
      </c>
      <c r="J99" s="709"/>
      <c r="K99" s="272" t="s">
        <v>13</v>
      </c>
      <c r="L99" s="200"/>
      <c r="M99" s="199" t="s">
        <v>157</v>
      </c>
      <c r="N99" s="199"/>
      <c r="O99" s="199"/>
      <c r="P99" s="199"/>
      <c r="Q99" s="199"/>
      <c r="R99" s="199"/>
      <c r="S99" s="199"/>
      <c r="T99" s="199"/>
      <c r="U99" s="199"/>
      <c r="V99" s="201"/>
      <c r="W99" s="211"/>
    </row>
    <row r="100" spans="1:23" ht="17.649999999999999" customHeight="1">
      <c r="A100" s="496">
        <f>B86/K100</f>
        <v>0</v>
      </c>
      <c r="B100" s="693"/>
      <c r="C100" s="716"/>
      <c r="D100" s="717"/>
      <c r="E100" s="213"/>
      <c r="F100" s="136"/>
      <c r="G100" s="136"/>
      <c r="H100" s="214"/>
      <c r="I100" s="710"/>
      <c r="J100" s="711"/>
      <c r="K100" s="169">
        <f>+F81</f>
        <v>290.25</v>
      </c>
      <c r="L100" s="200"/>
      <c r="M100" s="199" t="s">
        <v>158</v>
      </c>
      <c r="N100" s="199"/>
      <c r="O100" s="199"/>
      <c r="P100" s="199"/>
      <c r="Q100" s="199"/>
      <c r="R100" s="199"/>
      <c r="S100" s="199"/>
      <c r="T100" s="199"/>
      <c r="U100" s="199"/>
      <c r="V100" s="201"/>
      <c r="W100" s="211"/>
    </row>
    <row r="101" spans="1:23" ht="17.649999999999999" customHeight="1">
      <c r="A101" s="210"/>
      <c r="B101" s="192"/>
      <c r="C101" s="716"/>
      <c r="D101" s="717"/>
      <c r="E101" s="126"/>
      <c r="F101" s="126"/>
      <c r="G101" s="33"/>
      <c r="H101" s="33"/>
      <c r="I101" s="710"/>
      <c r="J101" s="711"/>
      <c r="K101" s="272"/>
      <c r="L101" s="200"/>
      <c r="M101" s="199" t="s">
        <v>159</v>
      </c>
      <c r="N101" s="199"/>
      <c r="O101" s="199"/>
      <c r="P101" s="199"/>
      <c r="Q101" s="199"/>
      <c r="R101" s="199"/>
      <c r="S101" s="199"/>
      <c r="T101" s="199"/>
      <c r="U101" s="199"/>
      <c r="V101" s="201"/>
      <c r="W101" s="211"/>
    </row>
    <row r="102" spans="1:23" ht="17.649999999999999" customHeight="1" thickBot="1">
      <c r="A102" s="210"/>
      <c r="B102" s="126"/>
      <c r="C102" s="718"/>
      <c r="D102" s="719"/>
      <c r="E102" s="126"/>
      <c r="F102" s="126"/>
      <c r="G102" s="33"/>
      <c r="H102" s="33"/>
      <c r="I102" s="712"/>
      <c r="J102" s="713"/>
      <c r="K102" s="195"/>
      <c r="L102" s="202"/>
      <c r="M102" s="203"/>
      <c r="N102" s="203"/>
      <c r="O102" s="203"/>
      <c r="P102" s="203"/>
      <c r="Q102" s="203"/>
      <c r="R102" s="203"/>
      <c r="S102" s="203"/>
      <c r="T102" s="203"/>
      <c r="U102" s="203"/>
      <c r="V102" s="126"/>
      <c r="W102" s="218"/>
    </row>
    <row r="103" spans="1:23" ht="17.649999999999999" customHeight="1">
      <c r="A103" s="210"/>
      <c r="B103" s="126"/>
      <c r="C103" s="126"/>
      <c r="D103" s="196"/>
      <c r="E103" s="126"/>
      <c r="F103" s="126"/>
      <c r="G103" s="33"/>
      <c r="H103" s="33"/>
      <c r="I103" s="197"/>
      <c r="J103" s="195"/>
      <c r="K103" s="195"/>
      <c r="L103" s="202"/>
      <c r="M103" s="172" t="s">
        <v>162</v>
      </c>
      <c r="N103" s="172"/>
      <c r="O103" s="172"/>
      <c r="P103" s="172"/>
      <c r="Q103" s="172"/>
      <c r="R103" s="172"/>
      <c r="S103" s="172"/>
      <c r="T103" s="172"/>
      <c r="U103" s="172"/>
      <c r="V103" s="126"/>
      <c r="W103" s="219"/>
    </row>
    <row r="104" spans="1:23" ht="17.649999999999999" customHeight="1">
      <c r="A104" s="220"/>
      <c r="B104" s="126"/>
      <c r="C104" s="126"/>
      <c r="D104" s="160"/>
      <c r="E104" s="128"/>
      <c r="F104" s="128"/>
      <c r="G104" s="128"/>
      <c r="H104" s="128"/>
      <c r="I104" s="164"/>
      <c r="J104" s="128"/>
      <c r="K104" s="161" t="s">
        <v>27</v>
      </c>
      <c r="L104" s="204"/>
      <c r="M104" s="205"/>
      <c r="N104" s="126"/>
      <c r="O104" s="126"/>
      <c r="P104" s="126"/>
      <c r="Q104" s="126"/>
      <c r="R104" s="126"/>
      <c r="S104" s="126"/>
      <c r="T104" s="126"/>
      <c r="U104" s="126"/>
      <c r="V104" s="206"/>
      <c r="W104" s="221"/>
    </row>
    <row r="105" spans="1:23" ht="17.649999999999999" customHeight="1">
      <c r="A105" s="222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23"/>
    </row>
    <row r="106" spans="1:23" ht="17.649999999999999" customHeight="1">
      <c r="A106" s="213"/>
      <c r="B106" s="126"/>
      <c r="C106" s="126"/>
      <c r="D106" s="126"/>
      <c r="E106" s="126" t="s">
        <v>167</v>
      </c>
      <c r="F106" s="126"/>
      <c r="G106" s="126"/>
      <c r="H106" s="243" t="s">
        <v>168</v>
      </c>
      <c r="I106" s="126"/>
      <c r="J106" s="126"/>
      <c r="K106" s="12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214"/>
    </row>
    <row r="107" spans="1:23" ht="17.649999999999999" customHeight="1">
      <c r="A107" s="213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214"/>
    </row>
    <row r="108" spans="1:23" ht="17.649999999999999" customHeight="1" thickBot="1">
      <c r="A108" s="224" t="str">
        <f>+WB!A32</f>
        <v>walter</v>
      </c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503" t="str">
        <f>+WB!X32</f>
        <v>Reg. No. 1248</v>
      </c>
      <c r="W108" s="698"/>
    </row>
    <row r="109" spans="1:23" ht="17.649999999999999" customHeight="1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</row>
    <row r="110" spans="1:23" ht="17.649999999999999" customHeight="1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</row>
    <row r="111" spans="1:23" ht="17.649999999999999" customHeight="1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</row>
    <row r="112" spans="1:23" ht="17.649999999999999" customHeight="1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</row>
  </sheetData>
  <mergeCells count="65">
    <mergeCell ref="G7:L7"/>
    <mergeCell ref="I9:J9"/>
    <mergeCell ref="N9:O9"/>
    <mergeCell ref="C99:D102"/>
    <mergeCell ref="I99:J102"/>
    <mergeCell ref="L86:M86"/>
    <mergeCell ref="L87:M87"/>
    <mergeCell ref="B95:K95"/>
    <mergeCell ref="A100:B100"/>
    <mergeCell ref="A99:B99"/>
    <mergeCell ref="B79:K79"/>
    <mergeCell ref="H67:H68"/>
    <mergeCell ref="P67:P68"/>
    <mergeCell ref="C67:C68"/>
    <mergeCell ref="C14:D17"/>
    <mergeCell ref="K53:M53"/>
    <mergeCell ref="K38:M38"/>
    <mergeCell ref="V108:W108"/>
    <mergeCell ref="V1:W1"/>
    <mergeCell ref="T8:U8"/>
    <mergeCell ref="C1:S1"/>
    <mergeCell ref="L84:M84"/>
    <mergeCell ref="L85:M85"/>
    <mergeCell ref="L73:L74"/>
    <mergeCell ref="C73:C74"/>
    <mergeCell ref="U73:U74"/>
    <mergeCell ref="K70:M70"/>
    <mergeCell ref="F82:F83"/>
    <mergeCell ref="I85:J88"/>
    <mergeCell ref="C85:D88"/>
    <mergeCell ref="K82:K83"/>
    <mergeCell ref="K64:M64"/>
    <mergeCell ref="E6:F6"/>
    <mergeCell ref="U67:U68"/>
    <mergeCell ref="K44:M44"/>
    <mergeCell ref="I41:J43"/>
    <mergeCell ref="N41:O43"/>
    <mergeCell ref="C29:D32"/>
    <mergeCell ref="T29:U32"/>
    <mergeCell ref="I33:J35"/>
    <mergeCell ref="N33:O35"/>
    <mergeCell ref="F30:G30"/>
    <mergeCell ref="Q30:R30"/>
    <mergeCell ref="H55:H56"/>
    <mergeCell ref="P55:P56"/>
    <mergeCell ref="H61:H62"/>
    <mergeCell ref="P61:P62"/>
    <mergeCell ref="I48:J50"/>
    <mergeCell ref="N48:O50"/>
    <mergeCell ref="I3:J5"/>
    <mergeCell ref="L88:M88"/>
    <mergeCell ref="L89:M89"/>
    <mergeCell ref="L90:M90"/>
    <mergeCell ref="T14:U17"/>
    <mergeCell ref="K8:M8"/>
    <mergeCell ref="K9:M9"/>
    <mergeCell ref="I26:J28"/>
    <mergeCell ref="N26:O28"/>
    <mergeCell ref="K18:M18"/>
    <mergeCell ref="K23:M23"/>
    <mergeCell ref="L15:L16"/>
    <mergeCell ref="I18:J20"/>
    <mergeCell ref="N18:O20"/>
    <mergeCell ref="I11:J13"/>
    <mergeCell ref="N11:O13"/>
  </mergeCells>
  <hyperlinks>
    <hyperlink ref="L81" r:id="rId1"/>
    <hyperlink ref="H106" r:id="rId2"/>
  </hyperlinks>
  <pageMargins left="0.7" right="0.7" top="0.75" bottom="0.75" header="0.3" footer="0.3"/>
  <pageSetup paperSize="9" orientation="portrait" r:id="rId3"/>
  <ignoredErrors>
    <ignoredError sqref="S7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WB</vt:lpstr>
      <vt:lpstr>SG10</vt:lpstr>
      <vt:lpstr>SG 20</vt:lpstr>
      <vt:lpstr>SG 50</vt:lpstr>
      <vt:lpstr>INA125</vt:lpstr>
      <vt:lpstr>HX711</vt:lpstr>
      <vt:lpstr>Bro SG</vt:lpstr>
      <vt:lpstr>Bro Tara</vt:lpstr>
      <vt:lpstr>Thevenin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2019-03-14T11:37:55Z</dcterms:created>
  <dcterms:modified xsi:type="dcterms:W3CDTF">2019-07-11T19:55:26Z</dcterms:modified>
</cp:coreProperties>
</file>